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ЭтаКнига" defaultThemeVersion="124226"/>
  <bookViews>
    <workbookView xWindow="-12" yWindow="588" windowWidth="9720" windowHeight="10428" tabRatio="953" firstSheet="3" activeTab="8"/>
  </bookViews>
  <sheets>
    <sheet name="Панельные ограждения GL (стр.1)" sheetId="138" r:id="rId1"/>
    <sheet name="Панельные ограждения GL (стр.2)" sheetId="139" r:id="rId2"/>
    <sheet name="Эл-ты панельных ограждений - 1" sheetId="125" r:id="rId3"/>
    <sheet name="Эл-ты панельных ограждений - 2" sheetId="137" r:id="rId4"/>
    <sheet name="Панельные ограждения Optima" sheetId="136" r:id="rId5"/>
    <sheet name="Модульные ограждения GL" sheetId="142" r:id="rId6"/>
    <sheet name="Времен.огражд.+Рулон+Штакетник" sheetId="119" r:id="rId7"/>
    <sheet name="Откатные ворота" sheetId="126" r:id="rId8"/>
    <sheet name="Распашные ворота и калитки" sheetId="143" r:id="rId9"/>
  </sheets>
  <definedNames>
    <definedName name="Print_Area" localSheetId="6">'Времен.огражд.+Рулон+Штакетник'!$A$1:$N$60</definedName>
    <definedName name="Print_Area" localSheetId="8">'Распашные ворота и калитки'!$A$1:$Q$59</definedName>
    <definedName name="_xlnm.Print_Area" localSheetId="6">'Времен.огражд.+Рулон+Штакетник'!$A$1:$N$56</definedName>
    <definedName name="_xlnm.Print_Area" localSheetId="5">'Модульные ограждения GL'!$A$1:$P$63</definedName>
    <definedName name="_xlnm.Print_Area" localSheetId="7">'Откатные ворота'!$A$1:$Q$39</definedName>
    <definedName name="_xlnm.Print_Area" localSheetId="0">'Панельные ограждения GL (стр.1)'!$A$1:$L$68</definedName>
    <definedName name="_xlnm.Print_Area" localSheetId="1">'Панельные ограждения GL (стр.2)'!$A$1:$L$48</definedName>
    <definedName name="_xlnm.Print_Area" localSheetId="4">'Панельные ограждения Optima'!$A$1:$H$39</definedName>
    <definedName name="_xlnm.Print_Area" localSheetId="8">'Распашные ворота и калитки'!$A$1:$R$59</definedName>
    <definedName name="_xlnm.Print_Area" localSheetId="2">'Эл-ты панельных ограждений - 1'!$A$1:$I$67</definedName>
    <definedName name="_xlnm.Print_Area" localSheetId="3">'Эл-ты панельных ограждений - 2'!$A$1:$G$53</definedName>
  </definedNames>
  <calcPr calcId="145621"/>
</workbook>
</file>

<file path=xl/calcChain.xml><?xml version="1.0" encoding="utf-8"?>
<calcChain xmlns="http://schemas.openxmlformats.org/spreadsheetml/2006/main">
  <c r="F7" i="143" l="1"/>
  <c r="H8" i="143"/>
  <c r="H7" i="143"/>
  <c r="H6" i="143"/>
  <c r="J7" i="143"/>
  <c r="L7" i="143"/>
  <c r="G12" i="143"/>
  <c r="G13" i="143"/>
  <c r="G14" i="143"/>
  <c r="G15" i="143"/>
  <c r="G16" i="143"/>
  <c r="F16" i="143"/>
  <c r="F15" i="143"/>
  <c r="F13" i="143"/>
  <c r="F12" i="143"/>
  <c r="G41" i="143"/>
  <c r="G40" i="143"/>
  <c r="G39" i="143"/>
  <c r="I41" i="143"/>
  <c r="I40" i="143"/>
  <c r="I39" i="143"/>
  <c r="H34" i="143"/>
  <c r="H33" i="143"/>
  <c r="H32" i="143"/>
  <c r="Q10" i="126"/>
  <c r="P10" i="126"/>
  <c r="O10" i="126"/>
  <c r="N10" i="126"/>
  <c r="M10" i="126"/>
  <c r="L10" i="126"/>
  <c r="K10" i="126"/>
  <c r="J10" i="126"/>
  <c r="I10" i="126"/>
  <c r="H10" i="126"/>
  <c r="G10" i="126"/>
  <c r="F10" i="126"/>
  <c r="Q9" i="126"/>
  <c r="P9" i="126"/>
  <c r="O9" i="126"/>
  <c r="N9" i="126"/>
  <c r="M9" i="126"/>
  <c r="L9" i="126"/>
  <c r="K9" i="126"/>
  <c r="J9" i="126"/>
  <c r="I9" i="126"/>
  <c r="H9" i="126"/>
  <c r="G9" i="126"/>
  <c r="F9" i="126"/>
  <c r="Q8" i="126"/>
  <c r="P8" i="126"/>
  <c r="O8" i="126"/>
  <c r="N8" i="126"/>
  <c r="M8" i="126"/>
  <c r="L8" i="126"/>
  <c r="K8" i="126"/>
  <c r="J8" i="126"/>
  <c r="I8" i="126"/>
  <c r="H8" i="126"/>
  <c r="G8" i="126"/>
  <c r="F8" i="126"/>
  <c r="Q7" i="126"/>
  <c r="P7" i="126"/>
  <c r="O7" i="126"/>
  <c r="N7" i="126"/>
  <c r="M7" i="126"/>
  <c r="L7" i="126"/>
  <c r="K7" i="126"/>
  <c r="J7" i="126"/>
  <c r="I7" i="126"/>
  <c r="H7" i="126"/>
  <c r="G7" i="126"/>
  <c r="F7" i="126"/>
  <c r="Q6" i="126"/>
  <c r="P6" i="126"/>
  <c r="O6" i="126"/>
  <c r="N6" i="126"/>
  <c r="M6" i="126"/>
  <c r="L6" i="126"/>
  <c r="K6" i="126"/>
  <c r="J6" i="126"/>
  <c r="I6" i="126"/>
  <c r="H6" i="126"/>
  <c r="G6" i="126"/>
  <c r="F6" i="126"/>
  <c r="Q5" i="126"/>
  <c r="P5" i="126"/>
  <c r="O5" i="126"/>
  <c r="N5" i="126"/>
  <c r="M5" i="126"/>
  <c r="L5" i="126"/>
  <c r="K5" i="126"/>
  <c r="J5" i="126"/>
  <c r="I5" i="126"/>
  <c r="H5" i="126"/>
  <c r="G5" i="126"/>
  <c r="F5" i="126"/>
  <c r="E10" i="126"/>
  <c r="E9" i="126"/>
  <c r="E8" i="126"/>
  <c r="E7" i="126"/>
  <c r="E6" i="126"/>
  <c r="E5" i="126"/>
  <c r="I51" i="142"/>
  <c r="R31" i="143" l="1"/>
  <c r="H54" i="143" l="1"/>
  <c r="F52" i="143"/>
  <c r="H48" i="143"/>
  <c r="H47" i="143"/>
  <c r="F46" i="143"/>
  <c r="F45" i="143"/>
  <c r="O41" i="143"/>
  <c r="N41" i="143"/>
  <c r="M41" i="143"/>
  <c r="L41" i="143"/>
  <c r="K41" i="143"/>
  <c r="J41" i="143"/>
  <c r="H41" i="143"/>
  <c r="F41" i="143"/>
  <c r="O40" i="143"/>
  <c r="N40" i="143"/>
  <c r="M40" i="143"/>
  <c r="L40" i="143"/>
  <c r="K40" i="143"/>
  <c r="J40" i="143"/>
  <c r="H40" i="143"/>
  <c r="F40" i="143"/>
  <c r="O39" i="143"/>
  <c r="N39" i="143"/>
  <c r="M39" i="143"/>
  <c r="L39" i="143"/>
  <c r="K39" i="143"/>
  <c r="J39" i="143"/>
  <c r="H39" i="143"/>
  <c r="F39" i="143"/>
  <c r="I38" i="143"/>
  <c r="H38" i="143"/>
  <c r="G38" i="143"/>
  <c r="F38" i="143"/>
  <c r="F34" i="143"/>
  <c r="F33" i="143"/>
  <c r="F32" i="143"/>
  <c r="R28" i="143"/>
  <c r="H31" i="143"/>
  <c r="F31" i="143"/>
  <c r="R25" i="143"/>
  <c r="R23" i="143"/>
  <c r="I26" i="143"/>
  <c r="I25" i="143"/>
  <c r="R21" i="143"/>
  <c r="I24" i="143"/>
  <c r="R20" i="143"/>
  <c r="I23" i="143"/>
  <c r="R19" i="143"/>
  <c r="I22" i="143"/>
  <c r="R18" i="143"/>
  <c r="I21" i="143"/>
  <c r="I20" i="143"/>
  <c r="I19" i="143"/>
  <c r="R15" i="143"/>
  <c r="R12" i="143"/>
  <c r="F14" i="143"/>
  <c r="R8" i="143"/>
  <c r="Q8" i="143"/>
  <c r="P8" i="143"/>
  <c r="O8" i="143"/>
  <c r="N8" i="143"/>
  <c r="M8" i="143"/>
  <c r="L8" i="143"/>
  <c r="K8" i="143"/>
  <c r="J8" i="143"/>
  <c r="I8" i="143"/>
  <c r="G8" i="143"/>
  <c r="F8" i="143"/>
  <c r="R7" i="143"/>
  <c r="Q7" i="143"/>
  <c r="P7" i="143"/>
  <c r="O7" i="143"/>
  <c r="N7" i="143"/>
  <c r="M7" i="143"/>
  <c r="K7" i="143"/>
  <c r="I7" i="143"/>
  <c r="G7" i="143"/>
  <c r="R6" i="143"/>
  <c r="Q6" i="143"/>
  <c r="P6" i="143"/>
  <c r="O6" i="143"/>
  <c r="N6" i="143"/>
  <c r="M6" i="143"/>
  <c r="L6" i="143"/>
  <c r="K6" i="143"/>
  <c r="J6" i="143"/>
  <c r="I6" i="143"/>
  <c r="G6" i="143"/>
  <c r="F6" i="143"/>
  <c r="R5" i="143"/>
  <c r="Q5" i="143"/>
  <c r="P5" i="143"/>
  <c r="O5" i="143"/>
  <c r="N5" i="143"/>
  <c r="M5" i="143"/>
  <c r="L5" i="143"/>
  <c r="K5" i="143"/>
  <c r="J5" i="143"/>
  <c r="I5" i="143"/>
  <c r="H5" i="143"/>
  <c r="G5" i="143"/>
  <c r="F5" i="143"/>
  <c r="I45" i="125" l="1"/>
  <c r="I44" i="125"/>
  <c r="S28" i="119" l="1"/>
  <c r="T28" i="119"/>
  <c r="U28" i="119"/>
  <c r="V28" i="119"/>
  <c r="R28" i="119"/>
  <c r="S13" i="119"/>
  <c r="T13" i="119"/>
  <c r="U13" i="119"/>
  <c r="V13" i="119"/>
  <c r="R13" i="119"/>
  <c r="S6" i="119"/>
  <c r="T6" i="119"/>
  <c r="U6" i="119"/>
  <c r="V6" i="119"/>
  <c r="R6" i="119"/>
  <c r="S5" i="119"/>
  <c r="T5" i="119"/>
  <c r="U5" i="119"/>
  <c r="V5" i="119"/>
  <c r="R5" i="119"/>
  <c r="V3" i="119"/>
  <c r="U3" i="119"/>
  <c r="T3" i="119"/>
  <c r="T4" i="119"/>
  <c r="S3" i="119"/>
  <c r="S4" i="119"/>
  <c r="R4" i="119"/>
  <c r="R3" i="119"/>
  <c r="I52" i="142" l="1"/>
  <c r="I50" i="142"/>
  <c r="I49" i="142"/>
  <c r="I48" i="142"/>
  <c r="I47" i="142"/>
  <c r="I46" i="142"/>
  <c r="W28" i="119" s="1"/>
  <c r="I45" i="142"/>
  <c r="I44" i="142"/>
  <c r="I43" i="142"/>
  <c r="I42" i="142"/>
  <c r="I41" i="142"/>
  <c r="I40" i="142"/>
  <c r="W4" i="119" s="1"/>
  <c r="I39" i="142"/>
  <c r="W3" i="119" s="1"/>
  <c r="I38" i="142"/>
  <c r="I37" i="142"/>
  <c r="W5" i="119" s="1"/>
  <c r="I36" i="142"/>
  <c r="I35" i="142"/>
  <c r="I34" i="142"/>
  <c r="I33" i="142"/>
  <c r="I32" i="142"/>
  <c r="I31" i="142"/>
  <c r="I30" i="142"/>
  <c r="I29" i="142"/>
  <c r="I28" i="142"/>
  <c r="I27" i="142"/>
  <c r="I26" i="142"/>
  <c r="I25" i="142"/>
  <c r="W13" i="119" s="1"/>
  <c r="I24" i="142"/>
  <c r="I23" i="142"/>
  <c r="I8" i="142" s="1"/>
  <c r="I22" i="142"/>
  <c r="I21" i="142"/>
  <c r="M17" i="142" s="1"/>
  <c r="K8" i="142"/>
  <c r="M11" i="142" l="1"/>
  <c r="I18" i="142"/>
  <c r="I11" i="142"/>
  <c r="I17" i="142"/>
  <c r="M15" i="142"/>
  <c r="M18" i="142"/>
  <c r="I15" i="142"/>
  <c r="W6" i="119"/>
  <c r="O8" i="142"/>
  <c r="M12" i="142"/>
  <c r="M16" i="142"/>
  <c r="M8" i="142"/>
  <c r="I12" i="142"/>
  <c r="I16" i="142"/>
  <c r="N32" i="119" l="1"/>
  <c r="M32" i="119"/>
  <c r="I54" i="125" l="1"/>
  <c r="G4" i="137"/>
  <c r="G13" i="137"/>
  <c r="G12" i="137"/>
  <c r="G11" i="137"/>
  <c r="G10" i="137"/>
  <c r="G9" i="137"/>
  <c r="G8" i="137"/>
  <c r="G7" i="137"/>
  <c r="G6" i="137"/>
  <c r="G5" i="137"/>
  <c r="M17" i="119" l="1"/>
  <c r="O23" i="126" l="1"/>
  <c r="L23" i="126"/>
  <c r="O21" i="126"/>
  <c r="L21" i="126"/>
  <c r="Q26" i="126"/>
  <c r="F17" i="126"/>
  <c r="F16" i="126"/>
  <c r="F15" i="126"/>
  <c r="E17" i="126"/>
  <c r="E16" i="126"/>
  <c r="E15" i="126"/>
  <c r="J35" i="126"/>
  <c r="J34" i="126"/>
  <c r="Q29" i="126"/>
  <c r="Q28" i="126"/>
  <c r="Q27" i="126"/>
  <c r="M26" i="119"/>
  <c r="N25" i="119"/>
  <c r="M37" i="119" l="1"/>
  <c r="M28" i="119"/>
  <c r="M27" i="119"/>
  <c r="N24" i="119"/>
  <c r="R9" i="119" l="1"/>
  <c r="R10" i="119"/>
  <c r="R7" i="119"/>
  <c r="R8" i="119"/>
  <c r="Q11" i="126" l="1"/>
  <c r="P11" i="126"/>
  <c r="O11" i="126"/>
  <c r="N11" i="126"/>
  <c r="M11" i="126"/>
  <c r="L11" i="126"/>
  <c r="K11" i="126"/>
  <c r="J11" i="126"/>
  <c r="I11" i="126"/>
  <c r="H11" i="126"/>
  <c r="G11" i="126"/>
  <c r="H18" i="136" l="1"/>
  <c r="H17" i="136"/>
  <c r="G42" i="137" l="1"/>
  <c r="I55" i="125" l="1"/>
  <c r="M24" i="119" l="1"/>
  <c r="J26" i="126" l="1"/>
  <c r="M21" i="119" l="1"/>
  <c r="I52" i="125" l="1"/>
  <c r="G14" i="137"/>
  <c r="G15" i="137"/>
  <c r="H30" i="139" l="1"/>
  <c r="G30" i="139"/>
  <c r="H29" i="139"/>
  <c r="G29" i="139"/>
  <c r="R33" i="139"/>
  <c r="Q33" i="139"/>
  <c r="H28" i="139"/>
  <c r="G28" i="139"/>
  <c r="Q32" i="139"/>
  <c r="P32" i="139"/>
  <c r="O32" i="139"/>
  <c r="H27" i="139"/>
  <c r="G27" i="139"/>
  <c r="R31" i="139"/>
  <c r="Q31" i="139"/>
  <c r="P31" i="139"/>
  <c r="O31" i="139"/>
  <c r="H26" i="139"/>
  <c r="G26" i="139"/>
  <c r="H25" i="139"/>
  <c r="G25" i="139"/>
  <c r="R30" i="139"/>
  <c r="Q30" i="139"/>
  <c r="P30" i="139"/>
  <c r="O30" i="139"/>
  <c r="H24" i="139"/>
  <c r="G24" i="139"/>
  <c r="Q29" i="139"/>
  <c r="P29" i="139"/>
  <c r="O29" i="139"/>
  <c r="H23" i="139"/>
  <c r="G23" i="139"/>
  <c r="R28" i="139"/>
  <c r="Q28" i="139"/>
  <c r="P28" i="139"/>
  <c r="O28" i="139"/>
  <c r="H22" i="139"/>
  <c r="G22" i="139"/>
  <c r="Q27" i="139"/>
  <c r="P27" i="139"/>
  <c r="O27" i="139"/>
  <c r="H21" i="139"/>
  <c r="G21" i="139"/>
  <c r="Q26" i="139"/>
  <c r="P26" i="139"/>
  <c r="O26" i="139"/>
  <c r="H20" i="139"/>
  <c r="G20" i="139"/>
  <c r="Q25" i="139"/>
  <c r="P25" i="139"/>
  <c r="O25" i="139"/>
  <c r="H19" i="139"/>
  <c r="G19" i="139"/>
  <c r="Q24" i="139"/>
  <c r="P24" i="139"/>
  <c r="O24" i="139"/>
  <c r="H18" i="139"/>
  <c r="G18" i="139"/>
  <c r="Q23" i="139"/>
  <c r="P23" i="139"/>
  <c r="O23" i="139"/>
  <c r="Q22" i="139"/>
  <c r="P22" i="139"/>
  <c r="O22" i="139"/>
  <c r="Q21" i="139"/>
  <c r="P21" i="139"/>
  <c r="O21" i="139"/>
  <c r="H17" i="139"/>
  <c r="G17" i="139"/>
  <c r="Q20" i="139"/>
  <c r="P20" i="139"/>
  <c r="O20" i="139"/>
  <c r="H16" i="139"/>
  <c r="G16" i="139"/>
  <c r="Q19" i="139"/>
  <c r="P19" i="139"/>
  <c r="O19" i="139"/>
  <c r="H15" i="139"/>
  <c r="G15" i="139"/>
  <c r="Q18" i="139"/>
  <c r="P18" i="139"/>
  <c r="O18" i="139"/>
  <c r="H14" i="139"/>
  <c r="G14" i="139"/>
  <c r="R17" i="139"/>
  <c r="Q17" i="139"/>
  <c r="P17" i="139"/>
  <c r="O17" i="139"/>
  <c r="H13" i="139"/>
  <c r="G13" i="139"/>
  <c r="R16" i="139"/>
  <c r="Q16" i="139"/>
  <c r="P16" i="139"/>
  <c r="O16" i="139"/>
  <c r="H12" i="139"/>
  <c r="G12" i="139"/>
  <c r="R15" i="139"/>
  <c r="Q15" i="139"/>
  <c r="P15" i="139"/>
  <c r="O15" i="139"/>
  <c r="Q14" i="139"/>
  <c r="P14" i="139"/>
  <c r="O14" i="139"/>
  <c r="H11" i="139"/>
  <c r="G11" i="139"/>
  <c r="Q13" i="139"/>
  <c r="P13" i="139"/>
  <c r="O13" i="139"/>
  <c r="H10" i="139"/>
  <c r="G10" i="139"/>
  <c r="Q12" i="139"/>
  <c r="P12" i="139"/>
  <c r="O12" i="139"/>
  <c r="Q11" i="139"/>
  <c r="P11" i="139"/>
  <c r="O11" i="139"/>
  <c r="H9" i="139"/>
  <c r="G9" i="139"/>
  <c r="Q10" i="139"/>
  <c r="P10" i="139"/>
  <c r="O10" i="139"/>
  <c r="H8" i="139"/>
  <c r="G8" i="139"/>
  <c r="Q9" i="139"/>
  <c r="P9" i="139"/>
  <c r="O9" i="139"/>
  <c r="H7" i="139"/>
  <c r="G7" i="139"/>
  <c r="Q8" i="139"/>
  <c r="P8" i="139"/>
  <c r="O8" i="139"/>
  <c r="H6" i="139"/>
  <c r="G6" i="139"/>
  <c r="Q7" i="139"/>
  <c r="P7" i="139"/>
  <c r="O7" i="139"/>
  <c r="H5" i="139"/>
  <c r="G5" i="139"/>
  <c r="Q6" i="139"/>
  <c r="P6" i="139"/>
  <c r="O6" i="139"/>
  <c r="Q5" i="139"/>
  <c r="P5" i="139"/>
  <c r="O5" i="139"/>
  <c r="R4" i="139"/>
  <c r="Q4" i="139"/>
  <c r="P4" i="139"/>
  <c r="O4" i="139"/>
  <c r="K15" i="138"/>
  <c r="K12" i="138"/>
  <c r="H51" i="138"/>
  <c r="H50" i="138"/>
  <c r="H49" i="138"/>
  <c r="H48" i="138"/>
  <c r="H47" i="138"/>
  <c r="H46" i="138"/>
  <c r="H45" i="138"/>
  <c r="H44" i="138"/>
  <c r="H43" i="138"/>
  <c r="H42" i="138"/>
  <c r="H41" i="138"/>
  <c r="H40" i="138"/>
  <c r="H39" i="138"/>
  <c r="H38" i="138"/>
  <c r="H37" i="138"/>
  <c r="H36" i="138"/>
  <c r="H35" i="138"/>
  <c r="H34" i="138"/>
  <c r="H33" i="138"/>
  <c r="H32" i="138"/>
  <c r="H31" i="138"/>
  <c r="H30" i="138"/>
  <c r="H29" i="138"/>
  <c r="H28" i="138"/>
  <c r="H27" i="138"/>
  <c r="H26" i="138"/>
  <c r="H25" i="138"/>
  <c r="H24" i="138"/>
  <c r="W10" i="119" s="1"/>
  <c r="H23" i="138"/>
  <c r="H22" i="138"/>
  <c r="W9" i="119" s="1"/>
  <c r="W14" i="119" s="1"/>
  <c r="G51" i="138"/>
  <c r="G50" i="138"/>
  <c r="G49" i="138"/>
  <c r="G48" i="138"/>
  <c r="G47" i="138"/>
  <c r="G46" i="138"/>
  <c r="G45" i="138"/>
  <c r="G44" i="138"/>
  <c r="G43" i="138"/>
  <c r="G42" i="138"/>
  <c r="G41" i="138"/>
  <c r="G40" i="138"/>
  <c r="G39" i="138"/>
  <c r="G38" i="138"/>
  <c r="G37" i="138"/>
  <c r="G36" i="138"/>
  <c r="G35" i="138"/>
  <c r="G34" i="138"/>
  <c r="G33" i="138"/>
  <c r="G32" i="138"/>
  <c r="G31" i="138"/>
  <c r="G30" i="138"/>
  <c r="G29" i="138"/>
  <c r="G28" i="138"/>
  <c r="G27" i="138"/>
  <c r="G26" i="138"/>
  <c r="G25" i="138"/>
  <c r="G24" i="138"/>
  <c r="G23" i="138"/>
  <c r="G22" i="138"/>
  <c r="O20" i="138" l="1"/>
  <c r="P20" i="138"/>
  <c r="Q20" i="138"/>
  <c r="O21" i="138"/>
  <c r="P21" i="138"/>
  <c r="Q21" i="138"/>
  <c r="O22" i="138"/>
  <c r="P22" i="138"/>
  <c r="Q22" i="138"/>
  <c r="O23" i="138"/>
  <c r="P23" i="138"/>
  <c r="Q23" i="138"/>
  <c r="O24" i="138"/>
  <c r="P24" i="138"/>
  <c r="Q24" i="138"/>
  <c r="O25" i="138"/>
  <c r="P25" i="138"/>
  <c r="Q25" i="138"/>
  <c r="O26" i="138"/>
  <c r="P26" i="138"/>
  <c r="Q26" i="138"/>
  <c r="O27" i="138"/>
  <c r="P27" i="138"/>
  <c r="Q27" i="138"/>
  <c r="O28" i="138"/>
  <c r="P28" i="138"/>
  <c r="Q28" i="138"/>
  <c r="R28" i="138"/>
  <c r="O29" i="138"/>
  <c r="P29" i="138"/>
  <c r="Q29" i="138"/>
  <c r="O30" i="138"/>
  <c r="P30" i="138"/>
  <c r="Q30" i="138"/>
  <c r="R30" i="138"/>
  <c r="O31" i="138"/>
  <c r="P31" i="138"/>
  <c r="Q31" i="138"/>
  <c r="O32" i="138"/>
  <c r="P32" i="138"/>
  <c r="Q32" i="138"/>
  <c r="R32" i="138"/>
  <c r="O33" i="138"/>
  <c r="P33" i="138"/>
  <c r="Q33" i="138"/>
  <c r="Q34" i="138"/>
  <c r="R34" i="138"/>
  <c r="H21" i="138"/>
  <c r="H20" i="138"/>
  <c r="H19" i="138"/>
  <c r="H18" i="138"/>
  <c r="H17" i="138"/>
  <c r="H16" i="138"/>
  <c r="H15" i="138"/>
  <c r="H14" i="138"/>
  <c r="H13" i="138"/>
  <c r="H12" i="138"/>
  <c r="H11" i="138"/>
  <c r="H10" i="138"/>
  <c r="H9" i="138"/>
  <c r="H8" i="138"/>
  <c r="H7" i="138"/>
  <c r="W8" i="119" s="1"/>
  <c r="H6" i="138"/>
  <c r="H5" i="138"/>
  <c r="W7" i="119" s="1"/>
  <c r="G21" i="138"/>
  <c r="G20" i="138"/>
  <c r="G19" i="138"/>
  <c r="G18" i="138"/>
  <c r="G17" i="138"/>
  <c r="G16" i="138"/>
  <c r="G15" i="138"/>
  <c r="G14" i="138"/>
  <c r="G13" i="138"/>
  <c r="G12" i="138"/>
  <c r="G11" i="138"/>
  <c r="G10" i="138"/>
  <c r="G9" i="138"/>
  <c r="G8" i="138"/>
  <c r="G7" i="138"/>
  <c r="G6" i="138"/>
  <c r="G5" i="138"/>
  <c r="Q19" i="138"/>
  <c r="P19" i="138"/>
  <c r="O19" i="138"/>
  <c r="Q18" i="138"/>
  <c r="P18" i="138"/>
  <c r="O18" i="138"/>
  <c r="R17" i="138"/>
  <c r="Q17" i="138"/>
  <c r="P17" i="138"/>
  <c r="O17" i="138"/>
  <c r="R16" i="138"/>
  <c r="Q16" i="138"/>
  <c r="P16" i="138"/>
  <c r="O16" i="138"/>
  <c r="R15" i="138"/>
  <c r="Q15" i="138"/>
  <c r="P15" i="138"/>
  <c r="O15" i="138"/>
  <c r="Q14" i="138"/>
  <c r="P14" i="138"/>
  <c r="O14" i="138"/>
  <c r="Q13" i="138"/>
  <c r="P13" i="138"/>
  <c r="O13" i="138"/>
  <c r="Q12" i="138"/>
  <c r="P12" i="138"/>
  <c r="O12" i="138"/>
  <c r="Q11" i="138"/>
  <c r="P11" i="138"/>
  <c r="O11" i="138"/>
  <c r="Q10" i="138"/>
  <c r="P10" i="138"/>
  <c r="O10" i="138"/>
  <c r="Q9" i="138"/>
  <c r="P9" i="138"/>
  <c r="O9" i="138"/>
  <c r="Q8" i="138"/>
  <c r="P8" i="138"/>
  <c r="O8" i="138"/>
  <c r="Q7" i="138"/>
  <c r="P7" i="138"/>
  <c r="O7" i="138"/>
  <c r="Q6" i="138"/>
  <c r="P6" i="138"/>
  <c r="O6" i="138"/>
  <c r="Q5" i="138"/>
  <c r="P5" i="138"/>
  <c r="O5" i="138"/>
  <c r="R4" i="138"/>
  <c r="Q4" i="138"/>
  <c r="P4" i="138"/>
  <c r="O4" i="138"/>
  <c r="M36" i="119" l="1"/>
  <c r="N36" i="119"/>
  <c r="N35" i="119"/>
  <c r="M35" i="119"/>
  <c r="M34" i="119"/>
  <c r="N34" i="119"/>
  <c r="N33" i="119"/>
  <c r="M33" i="119"/>
  <c r="G41" i="137" l="1"/>
  <c r="G40" i="137"/>
  <c r="G39" i="137"/>
  <c r="G38" i="137"/>
  <c r="G37" i="137"/>
  <c r="G36" i="137"/>
  <c r="G35" i="137"/>
  <c r="G34" i="137"/>
  <c r="G33" i="137"/>
  <c r="G32" i="137"/>
  <c r="G31" i="137"/>
  <c r="G30" i="137"/>
  <c r="G29" i="137"/>
  <c r="G28" i="137"/>
  <c r="G27" i="137"/>
  <c r="G26" i="137"/>
  <c r="G25" i="137"/>
  <c r="G24" i="137"/>
  <c r="G23" i="137"/>
  <c r="G22" i="137"/>
  <c r="G21" i="137"/>
  <c r="G20" i="137"/>
  <c r="G19" i="137"/>
  <c r="G18" i="137"/>
  <c r="G17" i="137"/>
  <c r="G16" i="137"/>
  <c r="I47" i="125"/>
  <c r="I48" i="125"/>
  <c r="I37" i="125"/>
  <c r="W27" i="119" s="1"/>
  <c r="I35" i="125"/>
  <c r="W26" i="119" s="1"/>
  <c r="I31" i="125"/>
  <c r="W23" i="119" s="1"/>
  <c r="I27" i="125"/>
  <c r="W20" i="119" s="1"/>
  <c r="I46" i="125"/>
  <c r="I25" i="125"/>
  <c r="I22" i="125"/>
  <c r="I21" i="125"/>
  <c r="I17" i="125"/>
  <c r="I15" i="125"/>
  <c r="I11" i="125"/>
  <c r="W21" i="119" s="1"/>
  <c r="I7" i="125"/>
  <c r="I5" i="125"/>
  <c r="S17" i="139" l="1"/>
  <c r="S17" i="138"/>
  <c r="W12" i="119"/>
  <c r="S32" i="139"/>
  <c r="S31" i="139"/>
  <c r="S32" i="138"/>
  <c r="S4" i="139"/>
  <c r="S4" i="138"/>
  <c r="S15" i="139"/>
  <c r="S15" i="138"/>
  <c r="H25" i="136"/>
  <c r="H15" i="136"/>
  <c r="H14" i="136"/>
  <c r="H11" i="136"/>
  <c r="H7" i="136" l="1"/>
  <c r="H6" i="136"/>
  <c r="H5" i="136"/>
  <c r="H26" i="136"/>
  <c r="H23" i="136"/>
  <c r="H22" i="136"/>
  <c r="H21" i="136"/>
  <c r="H19" i="136"/>
  <c r="H16" i="136"/>
  <c r="H13" i="136"/>
  <c r="H12" i="136"/>
  <c r="H20" i="136"/>
  <c r="M18" i="119"/>
  <c r="T15" i="119"/>
  <c r="U15" i="119"/>
  <c r="W15" i="119"/>
  <c r="T16" i="119"/>
  <c r="W16" i="119"/>
  <c r="I39" i="125"/>
  <c r="S12" i="119"/>
  <c r="T12" i="119"/>
  <c r="I7" i="119"/>
  <c r="K7" i="119" s="1"/>
  <c r="I6" i="119"/>
  <c r="I5" i="119"/>
  <c r="I60" i="125"/>
  <c r="I59" i="125"/>
  <c r="I58" i="125"/>
  <c r="I57" i="125"/>
  <c r="I56" i="125"/>
  <c r="I53" i="125"/>
  <c r="V15" i="119" s="1"/>
  <c r="I51" i="125"/>
  <c r="I50" i="125"/>
  <c r="I49" i="125"/>
  <c r="S33" i="138" s="1"/>
  <c r="I43" i="125"/>
  <c r="I42" i="125"/>
  <c r="I41" i="125"/>
  <c r="S31" i="138" s="1"/>
  <c r="I40" i="125"/>
  <c r="I38" i="125"/>
  <c r="I36" i="125"/>
  <c r="I34" i="125"/>
  <c r="I33" i="125"/>
  <c r="I32" i="125"/>
  <c r="I30" i="125"/>
  <c r="I29" i="125"/>
  <c r="I28" i="125"/>
  <c r="I26" i="125"/>
  <c r="I24" i="125"/>
  <c r="W18" i="119" s="1"/>
  <c r="I23" i="125"/>
  <c r="I20" i="125"/>
  <c r="I19" i="125"/>
  <c r="I18" i="125"/>
  <c r="I16" i="125"/>
  <c r="I14" i="125"/>
  <c r="I13" i="125"/>
  <c r="I12" i="125"/>
  <c r="I10" i="125"/>
  <c r="I9" i="125"/>
  <c r="I8" i="125"/>
  <c r="I6" i="125"/>
  <c r="I4" i="125"/>
  <c r="W17" i="119" s="1"/>
  <c r="M20" i="119"/>
  <c r="M16" i="119"/>
  <c r="M19" i="119"/>
  <c r="M11" i="119" l="1"/>
  <c r="M10" i="119"/>
  <c r="S5" i="139"/>
  <c r="S5" i="138"/>
  <c r="S7" i="139"/>
  <c r="S7" i="138"/>
  <c r="S9" i="139"/>
  <c r="S9" i="138"/>
  <c r="S11" i="139"/>
  <c r="S11" i="138"/>
  <c r="S13" i="139"/>
  <c r="S13" i="138"/>
  <c r="S28" i="139"/>
  <c r="S28" i="138"/>
  <c r="S19" i="139"/>
  <c r="S19" i="138"/>
  <c r="S21" i="139"/>
  <c r="S21" i="138"/>
  <c r="S23" i="139"/>
  <c r="S23" i="138"/>
  <c r="S25" i="139"/>
  <c r="S25" i="138"/>
  <c r="S30" i="139"/>
  <c r="S30" i="138"/>
  <c r="S6" i="139"/>
  <c r="S6" i="138"/>
  <c r="S8" i="139"/>
  <c r="S8" i="138"/>
  <c r="S10" i="139"/>
  <c r="S10" i="138"/>
  <c r="S12" i="139"/>
  <c r="S12" i="138"/>
  <c r="S14" i="139"/>
  <c r="S14" i="138"/>
  <c r="S16" i="139"/>
  <c r="S16" i="138"/>
  <c r="S29" i="139"/>
  <c r="S29" i="138"/>
  <c r="S18" i="139"/>
  <c r="S18" i="138"/>
  <c r="S20" i="139"/>
  <c r="S20" i="138"/>
  <c r="S22" i="139"/>
  <c r="S22" i="138"/>
  <c r="S24" i="139"/>
  <c r="S24" i="138"/>
  <c r="S26" i="139"/>
  <c r="S26" i="138"/>
  <c r="S33" i="139"/>
  <c r="S34" i="138"/>
  <c r="S27" i="139"/>
  <c r="S27" i="138"/>
  <c r="K5" i="119"/>
  <c r="K6" i="119"/>
  <c r="W29" i="119"/>
  <c r="M12" i="119" s="1"/>
  <c r="M13" i="119"/>
  <c r="I6" i="136"/>
  <c r="I5" i="136"/>
  <c r="I7" i="136"/>
  <c r="L32" i="138" l="1"/>
  <c r="K7" i="138"/>
  <c r="L12" i="139"/>
  <c r="K12" i="139"/>
  <c r="K18" i="138"/>
  <c r="K20" i="138"/>
  <c r="K34" i="138"/>
  <c r="K33" i="138"/>
  <c r="K48" i="138"/>
  <c r="K22" i="138"/>
  <c r="L21" i="138"/>
  <c r="L36" i="138"/>
  <c r="L35" i="138"/>
  <c r="L33" i="138"/>
  <c r="L48" i="138"/>
  <c r="L34" i="138"/>
  <c r="L49" i="138"/>
  <c r="L37" i="138"/>
  <c r="K50" i="138"/>
  <c r="K35" i="138"/>
  <c r="K49" i="138"/>
  <c r="K19" i="138"/>
  <c r="K37" i="138"/>
  <c r="K5" i="138"/>
  <c r="L51" i="138"/>
  <c r="L20" i="138"/>
  <c r="L19" i="138"/>
  <c r="L50" i="138"/>
  <c r="L18" i="138"/>
  <c r="L22" i="138"/>
  <c r="L5" i="138"/>
  <c r="L46" i="138"/>
  <c r="L16" i="138"/>
  <c r="L47" i="138"/>
  <c r="L17" i="138"/>
  <c r="L31" i="138"/>
  <c r="L13" i="138"/>
  <c r="L29" i="138"/>
  <c r="L44" i="138"/>
  <c r="L27" i="138"/>
  <c r="L10" i="138"/>
  <c r="L42" i="138"/>
  <c r="L40" i="138"/>
  <c r="L8" i="138"/>
  <c r="L25" i="138"/>
  <c r="L6" i="138"/>
  <c r="L23" i="138"/>
  <c r="L38" i="138"/>
  <c r="K36" i="138"/>
  <c r="K51" i="138"/>
  <c r="K21" i="138"/>
  <c r="K31" i="138"/>
  <c r="K30" i="138"/>
  <c r="K45" i="138"/>
  <c r="K14" i="138"/>
  <c r="K43" i="138"/>
  <c r="K11" i="138"/>
  <c r="K28" i="138"/>
  <c r="K26" i="138"/>
  <c r="K41" i="138"/>
  <c r="K9" i="138"/>
  <c r="K24" i="138"/>
  <c r="K39" i="138"/>
  <c r="L14" i="138"/>
  <c r="L30" i="138"/>
  <c r="L15" i="138"/>
  <c r="L45" i="138"/>
  <c r="L43" i="138"/>
  <c r="L11" i="138"/>
  <c r="L12" i="138"/>
  <c r="L28" i="138"/>
  <c r="L26" i="138"/>
  <c r="L9" i="138"/>
  <c r="L41" i="138"/>
  <c r="L39" i="138"/>
  <c r="L7" i="138"/>
  <c r="L24" i="138"/>
  <c r="K47" i="138"/>
  <c r="K17" i="138"/>
  <c r="K16" i="138"/>
  <c r="K46" i="138"/>
  <c r="K32" i="138"/>
  <c r="K13" i="138"/>
  <c r="K29" i="138"/>
  <c r="K44" i="138"/>
  <c r="K10" i="138"/>
  <c r="K27" i="138"/>
  <c r="K42" i="138"/>
  <c r="K25" i="138"/>
  <c r="K40" i="138"/>
  <c r="K8" i="138"/>
  <c r="K6" i="138"/>
  <c r="K38" i="138"/>
  <c r="K23" i="138"/>
  <c r="L27" i="139"/>
  <c r="L13" i="139"/>
  <c r="L16" i="139"/>
  <c r="K15" i="139"/>
  <c r="K13" i="139"/>
  <c r="K14" i="139"/>
  <c r="K26" i="139"/>
  <c r="L30" i="139"/>
  <c r="L15" i="139"/>
  <c r="L29" i="139"/>
  <c r="L14" i="139"/>
  <c r="L28" i="139"/>
  <c r="K29" i="139"/>
  <c r="K27" i="139"/>
  <c r="K16" i="139"/>
  <c r="K28" i="139"/>
  <c r="L17" i="139"/>
  <c r="L11" i="139"/>
  <c r="L25" i="139"/>
  <c r="L24" i="139"/>
  <c r="L26" i="139"/>
  <c r="L21" i="139"/>
  <c r="L8" i="139"/>
  <c r="L19" i="139"/>
  <c r="L6" i="139"/>
  <c r="K17" i="139"/>
  <c r="K30" i="139"/>
  <c r="K23" i="139"/>
  <c r="K10" i="139"/>
  <c r="K9" i="139"/>
  <c r="K22" i="139"/>
  <c r="K7" i="139"/>
  <c r="K20" i="139"/>
  <c r="K5" i="139"/>
  <c r="K18" i="139"/>
  <c r="L23" i="139"/>
  <c r="L10" i="139"/>
  <c r="L9" i="139"/>
  <c r="L22" i="139"/>
  <c r="L7" i="139"/>
  <c r="L20" i="139"/>
  <c r="L5" i="139"/>
  <c r="L18" i="139"/>
  <c r="K11" i="139"/>
  <c r="K25" i="139"/>
  <c r="K24" i="139"/>
  <c r="K21" i="139"/>
  <c r="K8" i="139"/>
  <c r="K19" i="139"/>
  <c r="K6" i="139"/>
</calcChain>
</file>

<file path=xl/sharedStrings.xml><?xml version="1.0" encoding="utf-8"?>
<sst xmlns="http://schemas.openxmlformats.org/spreadsheetml/2006/main" count="1060" uniqueCount="552">
  <si>
    <t>Отсутствует</t>
  </si>
  <si>
    <t>При заказе  Панелей с ячейкой 100/150/200*50 к стоимости Панелей с ячейкой 100/150/200*55 применяется коэффициент 1,07</t>
  </si>
  <si>
    <t>При заказе  Панелей с ячейкой 100/150/200*60 к стоимости Панелей с ячейкой 100/150/200*55 применяется коэффициент 0,95</t>
  </si>
  <si>
    <r>
      <t xml:space="preserve">Инструмент для монтажа винтопор </t>
    </r>
    <r>
      <rPr>
        <b/>
        <sz val="16"/>
        <color indexed="10"/>
        <rFont val="Arial"/>
        <family val="2"/>
        <charset val="204"/>
      </rPr>
      <t>NEW</t>
    </r>
  </si>
  <si>
    <t>Страна-производитель</t>
  </si>
  <si>
    <t>Испания</t>
  </si>
  <si>
    <t xml:space="preserve">Крепление скоба Medium винт М6х30 </t>
  </si>
  <si>
    <t>90*55*1,6</t>
  </si>
  <si>
    <t>Внимание! Продажа временных ограждений ведется комплектно. Отдельно крепления, столбы, панели или основания не продаются.</t>
  </si>
  <si>
    <t>Ограждение Grand Line®
Премиум Плюс</t>
  </si>
  <si>
    <t>Ограждение Grand Line®
Премиум</t>
  </si>
  <si>
    <t>Ограждение Grand Line®
Стандарт</t>
  </si>
  <si>
    <t>Ограждение Grand Line®
Эконом</t>
  </si>
  <si>
    <r>
      <t xml:space="preserve">Комплект на 2,5 метра прямого не замкнутого участка ограждения </t>
    </r>
    <r>
      <rPr>
        <b/>
        <u/>
        <sz val="16"/>
        <rFont val="Arial"/>
        <family val="2"/>
        <charset val="204"/>
      </rPr>
      <t>под бетонирование</t>
    </r>
    <r>
      <rPr>
        <b/>
        <sz val="16"/>
        <rFont val="Arial"/>
        <family val="2"/>
        <charset val="204"/>
      </rPr>
      <t xml:space="preserve"> без учета финишных столбов и калиток с воротами Модульных ограждений Grand Line</t>
    </r>
    <r>
      <rPr>
        <b/>
        <vertAlign val="superscript"/>
        <sz val="16"/>
        <rFont val="Arial"/>
        <family val="2"/>
        <charset val="204"/>
      </rPr>
      <t>®</t>
    </r>
    <r>
      <rPr>
        <b/>
        <sz val="16"/>
        <rFont val="Arial"/>
        <family val="2"/>
        <charset val="204"/>
      </rPr>
      <t xml:space="preserve"> </t>
    </r>
  </si>
  <si>
    <t>Панель  860*1600 (1970) мм - 3 шт. 
Cтолб  62*55*2500 мм - 1 шт.        
Направляющая  60*20*2500 2 шт.  
Т- кронштейн - 2 шт.</t>
  </si>
  <si>
    <t>Панель  860*1600 (1970) мм - 3 шт.
Направляющая  60*20*2500 мм  - 3 шт.
Декоративное полотно 360*2500 мм -1 шт.
Стойка 84*48*2500 (3000) мм  - 2 шт.
Столб 62*55*3000 мм - 1 шт (для ограждения 2,4 м)
Крышка универсальная - 1 шт / Крышка - 2 шт.</t>
  </si>
  <si>
    <t>При заказе  Панелей с ячейкой 100*55 к стоимости Панелей с ячейкой 200*55 применяется коэффициент 1,20</t>
  </si>
  <si>
    <t>При заказе  Панелей с ячейкой 150*55 к стоимости Панелей с ячейкой 200*55 применяется коэффициент 1,10</t>
  </si>
  <si>
    <t>Коэффициенты применяются в последовательности от большего к меньшему</t>
  </si>
  <si>
    <r>
      <t xml:space="preserve">Фиксатор проволоки в наконечнике
</t>
    </r>
    <r>
      <rPr>
        <sz val="16"/>
        <rFont val="Arial"/>
        <family val="2"/>
        <charset val="204"/>
      </rPr>
      <t>(скоба + болт М6*40 + гайка М6)</t>
    </r>
  </si>
  <si>
    <t>Анкер М12*120 
для крепления столба с фланцем к бетонному основанию</t>
  </si>
  <si>
    <t>Болт М12*100 + шайба + гайка
для крепления столба к винтовой опоре с фланцем</t>
  </si>
  <si>
    <t>Болт М16*80
для крепления столба к винтовой опоре без фланца</t>
  </si>
  <si>
    <t>оцинкованные</t>
  </si>
  <si>
    <r>
      <rPr>
        <b/>
        <u/>
        <sz val="16"/>
        <rFont val="Arial"/>
        <family val="2"/>
        <charset val="204"/>
      </rPr>
      <t>Стандартные цвета</t>
    </r>
    <r>
      <rPr>
        <b/>
        <sz val="16"/>
        <rFont val="Arial"/>
        <family val="2"/>
        <charset val="204"/>
      </rPr>
      <t>:  зеленый RAL 6005, синий RAL 5005,  серый RAL 7040, белый RAL 9016, желтый RAL 1021, красный RAL 3020, вишневый RAL 3005, коричневый RAL 8017, черный RAL 9005, бежевый RAL 1014</t>
    </r>
  </si>
  <si>
    <r>
      <rPr>
        <b/>
        <u/>
        <sz val="16"/>
        <color indexed="8"/>
        <rFont val="Arial"/>
        <family val="2"/>
        <charset val="204"/>
      </rPr>
      <t>Заказы в стандартных цветах</t>
    </r>
    <r>
      <rPr>
        <b/>
        <sz val="16"/>
        <color indexed="8"/>
        <rFont val="Arial"/>
        <family val="2"/>
        <charset val="204"/>
      </rPr>
      <t xml:space="preserve"> менее 150 погонных метров не принимаются</t>
    </r>
  </si>
  <si>
    <t>78,5 х 40,5</t>
  </si>
  <si>
    <r>
      <t>Наконечник для уличного освещения</t>
    </r>
    <r>
      <rPr>
        <b/>
        <sz val="16"/>
        <color indexed="10"/>
        <rFont val="Arial"/>
        <family val="2"/>
        <charset val="204"/>
      </rPr>
      <t xml:space="preserve"> NEW</t>
    </r>
  </si>
  <si>
    <t>62*55*1,4</t>
  </si>
  <si>
    <t>62*55*1500</t>
  </si>
  <si>
    <t>62*55*2500</t>
  </si>
  <si>
    <t>Antique Dub, Golden Dub</t>
  </si>
  <si>
    <t>Панель 
PROFI</t>
  </si>
  <si>
    <t>Ваша скидка</t>
  </si>
  <si>
    <t>пластик</t>
  </si>
  <si>
    <t>оцинкованная</t>
  </si>
  <si>
    <t>оцинкованный  / с полимерным покрытием</t>
  </si>
  <si>
    <t>оцинкованный</t>
  </si>
  <si>
    <t>оцинкованная  / с полимерным покрытием</t>
  </si>
  <si>
    <t>90*55</t>
  </si>
  <si>
    <t>Комплект: Замок для панельных откатных ворот</t>
  </si>
  <si>
    <t>80*80*3,0</t>
  </si>
  <si>
    <t>80*80*2,0</t>
  </si>
  <si>
    <t>1,5/2,5</t>
  </si>
  <si>
    <t>скрыть</t>
  </si>
  <si>
    <t>Крепление скоба болт</t>
  </si>
  <si>
    <t>62*55*3000</t>
  </si>
  <si>
    <t>труба 40х20</t>
  </si>
  <si>
    <t>столб 62х55</t>
  </si>
  <si>
    <t>62*55*1100</t>
  </si>
  <si>
    <t>работы по сварке панель Medium + труба 40х20</t>
  </si>
  <si>
    <t>работы по сварке панель Profi + труба 40х20</t>
  </si>
  <si>
    <t>RAL6005,8017,3005,7040,5005,9016,9005,1021,1014,3020</t>
  </si>
  <si>
    <r>
      <t xml:space="preserve">Клипсатор
</t>
    </r>
    <r>
      <rPr>
        <sz val="16"/>
        <rFont val="Arial"/>
        <family val="2"/>
        <charset val="204"/>
      </rPr>
      <t>исп-ся для обжима соединит-х клипс при стыковке панелей</t>
    </r>
  </si>
  <si>
    <t>1,5*</t>
  </si>
  <si>
    <r>
      <t xml:space="preserve">Цена за 1 п.м. комплекта, руб. </t>
    </r>
    <r>
      <rPr>
        <b/>
        <sz val="16"/>
        <color indexed="10"/>
        <rFont val="Arial"/>
        <family val="2"/>
        <charset val="204"/>
      </rPr>
      <t>Внимание! Расчет теоретический</t>
    </r>
    <r>
      <rPr>
        <b/>
        <sz val="16"/>
        <rFont val="Arial"/>
        <family val="2"/>
        <charset val="204"/>
      </rPr>
      <t>.                                                             Продажа ведется по ЭЛЕМЕНТАМ и расчет по конкретному участку будет отличаться!</t>
    </r>
  </si>
  <si>
    <t xml:space="preserve"> Cтолб + заглушка</t>
  </si>
  <si>
    <r>
      <t xml:space="preserve">Штрих-корректоры
</t>
    </r>
    <r>
      <rPr>
        <sz val="16"/>
        <rFont val="Arial"/>
        <family val="2"/>
        <charset val="204"/>
      </rPr>
      <t>используется для реставрации полимерного покрытия</t>
    </r>
  </si>
  <si>
    <t>20 мл</t>
  </si>
  <si>
    <r>
      <t>ПББ диаметр 900</t>
    </r>
    <r>
      <rPr>
        <sz val="16"/>
        <rFont val="Arial"/>
        <family val="2"/>
        <charset val="204"/>
      </rPr>
      <t xml:space="preserve"> (4,4 витка на пог. метр)</t>
    </r>
  </si>
  <si>
    <t>Вес, кг/шт.</t>
  </si>
  <si>
    <r>
      <t xml:space="preserve">Крепление хомут, Крепление хомут угловой, Крепление хомут крайний </t>
    </r>
    <r>
      <rPr>
        <sz val="12"/>
        <rFont val="Arial"/>
        <family val="2"/>
        <charset val="204"/>
      </rPr>
      <t>(укомплектован антивандальными гайками М6)</t>
    </r>
  </si>
  <si>
    <r>
      <t xml:space="preserve">Крепление хомут, Крепление хомут крайний </t>
    </r>
    <r>
      <rPr>
        <sz val="12"/>
        <rFont val="Arial"/>
        <family val="2"/>
        <charset val="204"/>
      </rPr>
      <t>(укомплектован антивандальными гайками М6)</t>
    </r>
  </si>
  <si>
    <t>62*55</t>
  </si>
  <si>
    <t>Бетонное основание*</t>
  </si>
  <si>
    <t>Комплектация</t>
  </si>
  <si>
    <t>Панель MEDIUM</t>
  </si>
  <si>
    <t>Газонные и тротуарные ограждения</t>
  </si>
  <si>
    <r>
      <t xml:space="preserve">Крепление скоба </t>
    </r>
    <r>
      <rPr>
        <sz val="16"/>
        <rFont val="Arial"/>
        <family val="2"/>
        <charset val="204"/>
      </rPr>
      <t>(болт М6*85/25/100  + гайка антивандальная М6 или или винт М6*30)</t>
    </r>
  </si>
  <si>
    <t>в бухте 10 погонных метров</t>
  </si>
  <si>
    <t>1 шт.</t>
  </si>
  <si>
    <r>
      <t>СББ диаметр 500/3</t>
    </r>
    <r>
      <rPr>
        <sz val="16"/>
        <rFont val="Arial"/>
        <family val="2"/>
        <charset val="204"/>
      </rPr>
      <t xml:space="preserve"> (4 витка на пог. метр)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</si>
  <si>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пог. метр)</t>
    </r>
  </si>
  <si>
    <r>
      <t>СББ диаметр 600/3</t>
    </r>
    <r>
      <rPr>
        <sz val="16"/>
        <rFont val="Arial"/>
        <family val="2"/>
        <charset val="204"/>
      </rPr>
      <t xml:space="preserve"> (4 витка на пог. метр)</t>
    </r>
  </si>
  <si>
    <r>
      <t>СББ диаметр 600/5</t>
    </r>
    <r>
      <rPr>
        <sz val="16"/>
        <rFont val="Arial"/>
        <family val="2"/>
        <charset val="204"/>
      </rPr>
      <t xml:space="preserve"> (6,2 витка на пог. метр)</t>
    </r>
  </si>
  <si>
    <r>
      <t>СББ диаметр 900/5</t>
    </r>
    <r>
      <rPr>
        <sz val="16"/>
        <rFont val="Arial"/>
        <family val="2"/>
        <charset val="204"/>
      </rPr>
      <t xml:space="preserve"> (4,2 витка на пог. метр)</t>
    </r>
  </si>
  <si>
    <t>полиэстер двс</t>
  </si>
  <si>
    <t>Цена, руб.</t>
  </si>
  <si>
    <t>-</t>
  </si>
  <si>
    <t>Комплект откатных ворот</t>
  </si>
  <si>
    <t>Комплект для автоматизации откатных ворот</t>
  </si>
  <si>
    <t xml:space="preserve">62*55*1000     </t>
  </si>
  <si>
    <t>Protect**</t>
  </si>
  <si>
    <t>Наименование Откатных ворот</t>
  </si>
  <si>
    <t>Заполнение</t>
  </si>
  <si>
    <t>Премиум*</t>
  </si>
  <si>
    <t>Премиум Плюс*</t>
  </si>
  <si>
    <t>Profi**</t>
  </si>
  <si>
    <t>Панель Profi</t>
  </si>
  <si>
    <t>Профильная труба 40*20</t>
  </si>
  <si>
    <t>Цены указаны на стандартные цвета. Возможно исполнение в других цветах стоимость по согласованию.</t>
  </si>
  <si>
    <t>* - стандартные цвета по RAL: 3005, 6005, 8017</t>
  </si>
  <si>
    <t>** - стандартные цвета по RAL: 1014, 1021, 3005, 3020, 5005, 6005, 7040, 8017, 9005, 9016</t>
  </si>
  <si>
    <t>Ваша Скидка</t>
  </si>
  <si>
    <t>Покрытие</t>
  </si>
  <si>
    <t>860*1600</t>
  </si>
  <si>
    <t>Планка притворная для навесного замка</t>
  </si>
  <si>
    <t>Высота/ Ширина,             м</t>
  </si>
  <si>
    <t>Высота/ Длина рулона, м</t>
  </si>
  <si>
    <t>Ячейка, мм</t>
  </si>
  <si>
    <t>Кол-во ребер,                                шт.</t>
  </si>
  <si>
    <t>Вес панели, кг</t>
  </si>
  <si>
    <t>1,0/25</t>
  </si>
  <si>
    <t>Планка П-образная для штакетника</t>
  </si>
  <si>
    <t>Розничная цена, шт./руб.</t>
  </si>
  <si>
    <t>100*50</t>
  </si>
  <si>
    <t>1,5/25</t>
  </si>
  <si>
    <t>1,8/25</t>
  </si>
  <si>
    <t>2,0/25</t>
  </si>
  <si>
    <t>50*50</t>
  </si>
  <si>
    <t>Высота/ Ширина, м</t>
  </si>
  <si>
    <t>Вес,                       кг/шт.</t>
  </si>
  <si>
    <t>LSKZ60 U2</t>
  </si>
  <si>
    <t>3006S</t>
  </si>
  <si>
    <t xml:space="preserve">860*1970 </t>
  </si>
  <si>
    <t xml:space="preserve">Труба                   </t>
  </si>
  <si>
    <t xml:space="preserve">40*20*2500  </t>
  </si>
  <si>
    <t>цинк Zn</t>
  </si>
  <si>
    <t>40*20*3000</t>
  </si>
  <si>
    <t xml:space="preserve">62*55*2500     </t>
  </si>
  <si>
    <t xml:space="preserve">62*55*3000   </t>
  </si>
  <si>
    <t>Cтолб 62*55</t>
  </si>
  <si>
    <t>Цинк</t>
  </si>
  <si>
    <t>Полимер</t>
  </si>
  <si>
    <t>Все цены с НДС на складе завода Grand Line (71 км от МКАД по Киевскому шоссе, Ворсино).</t>
  </si>
  <si>
    <t>в бухте 400 погонных метров</t>
  </si>
  <si>
    <t>в бухте 7-8 погонных метров</t>
  </si>
  <si>
    <r>
      <t>ПББ диаметр 500</t>
    </r>
    <r>
      <rPr>
        <sz val="16"/>
        <rFont val="Arial"/>
        <family val="2"/>
        <charset val="204"/>
      </rPr>
      <t xml:space="preserve"> (4,4 витка на пог. метр)</t>
    </r>
  </si>
  <si>
    <t>Рекомендованная розничная цена за 1 панель, шт/руб.</t>
  </si>
  <si>
    <t>Ограждения</t>
  </si>
  <si>
    <t>0,55*0,17</t>
  </si>
  <si>
    <t>При заказе  Панелей шириной 3100 мм к стоимости Панелей 2500 мм применяется коэффициент 1,25</t>
  </si>
  <si>
    <t>оцинкованное  / с полимерным покрытием</t>
  </si>
  <si>
    <t>Клипса соединительная</t>
  </si>
  <si>
    <t>Наконечник  универсальный</t>
  </si>
  <si>
    <t xml:space="preserve">цены действительны с </t>
  </si>
  <si>
    <t>Наименование</t>
  </si>
  <si>
    <t>Высота, м</t>
  </si>
  <si>
    <t>Ширина, м</t>
  </si>
  <si>
    <t>Наконечник  V на столб 62*55</t>
  </si>
  <si>
    <t>Саморезы
4,8x35</t>
  </si>
  <si>
    <t>Саморезы
5,5x19</t>
  </si>
  <si>
    <t>Саморезы
4,2x16; заклепка 3,2х8</t>
  </si>
  <si>
    <t>Панель Премиум</t>
  </si>
  <si>
    <t xml:space="preserve">полимер </t>
  </si>
  <si>
    <t>полимер</t>
  </si>
  <si>
    <t>Саморез металл-металл 5,5*19 бур.№3 цвет по RAL</t>
  </si>
  <si>
    <t>Изображение продукции</t>
  </si>
  <si>
    <t>Саморез металл-дерево 4,8*35 цвет по RAL</t>
  </si>
  <si>
    <t>Заклепка цветная 3,2*8 цвет по RAL</t>
  </si>
  <si>
    <t>Саморез с прессшайбой 4,2*16 цвет по RAL</t>
  </si>
  <si>
    <t xml:space="preserve">62*55*2000   </t>
  </si>
  <si>
    <t>Пульт Flo2R-S</t>
  </si>
  <si>
    <t>Замковый выключатель (SELE)</t>
  </si>
  <si>
    <t>Розничная цена за 1 панель, шт/руб.</t>
  </si>
  <si>
    <t>Розничная цена, руб/п.м.</t>
  </si>
  <si>
    <t>0,63*2,5</t>
  </si>
  <si>
    <t>Калитки и Ворота Эконом поддерживаются на складе в полимерном покрытии: серое стекло RAL 7040, коричневый RAL 8017</t>
  </si>
  <si>
    <t>Кол-во ребер, шт.</t>
  </si>
  <si>
    <t>Кол-во отверстий, шт.</t>
  </si>
  <si>
    <t>Кол-во в упаковке, шт.</t>
  </si>
  <si>
    <t>Высота/ Ширина,м</t>
  </si>
  <si>
    <t>Реком розничная цена, руб/п.м.</t>
  </si>
  <si>
    <t>Крышка</t>
  </si>
  <si>
    <t>87*50</t>
  </si>
  <si>
    <t xml:space="preserve">Направляющая  </t>
  </si>
  <si>
    <t xml:space="preserve">60*20*2500 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</si>
  <si>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  </t>
  </si>
  <si>
    <t>Cтойка 84*48</t>
  </si>
  <si>
    <t>Панели не отмеченные как складские в цинке производятся в количестве от 300 штук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</si>
  <si>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с полимерным покрытием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</t>
  </si>
  <si>
    <t>Розничная цена, п.м./руб.</t>
  </si>
  <si>
    <t>RAL 3005, 6005, 8017</t>
  </si>
  <si>
    <t xml:space="preserve">360*2500    </t>
  </si>
  <si>
    <t xml:space="preserve"> Стойка </t>
  </si>
  <si>
    <t>84*48*2500</t>
  </si>
  <si>
    <t xml:space="preserve">84*48*3000 </t>
  </si>
  <si>
    <t xml:space="preserve">Х-кронштейн </t>
  </si>
  <si>
    <t xml:space="preserve">248*109*40 </t>
  </si>
  <si>
    <t>Т-кронштейн</t>
  </si>
  <si>
    <t>155*90*80</t>
  </si>
  <si>
    <t>Крышка универсальная</t>
  </si>
  <si>
    <t>100*87*20</t>
  </si>
  <si>
    <t>Заглушка GL 62*55</t>
  </si>
  <si>
    <t>62*55*30</t>
  </si>
  <si>
    <t>ПВХ</t>
  </si>
  <si>
    <t>L-кронштейн</t>
  </si>
  <si>
    <t>60*20*110</t>
  </si>
  <si>
    <t>Высота ограждения, м</t>
  </si>
  <si>
    <t xml:space="preserve">Габаритные размеры, мм                             </t>
  </si>
  <si>
    <t>Кол-во в упак , шт.</t>
  </si>
  <si>
    <t>Толщина, мм</t>
  </si>
  <si>
    <t>Реком розничная цена, руб/шт</t>
  </si>
  <si>
    <t>Комплект</t>
  </si>
  <si>
    <t>Ручка</t>
  </si>
  <si>
    <t>Цилиндр</t>
  </si>
  <si>
    <t>3012VSZ</t>
  </si>
  <si>
    <t>Ключи</t>
  </si>
  <si>
    <t>3 штуки</t>
  </si>
  <si>
    <t>При заказе  Панелей шириной 3000 мм к стоимости Панелей 2500 мм применяется коэффициент 1,20</t>
  </si>
  <si>
    <t>Болт М6*85/100 + шайба + гайка антивандальная   для крепления наконечника универсального к столбу</t>
  </si>
  <si>
    <t>Комплект из 2-х оснований для столба</t>
  </si>
  <si>
    <t>Длина ворот до 6 м
Цена, руб.</t>
  </si>
  <si>
    <t>Длина ворот более 6,5 м
Цена, руб.</t>
  </si>
  <si>
    <t>Рейка с креплением для откатных ворот</t>
  </si>
  <si>
    <r>
      <t>ПББ диаметр 600</t>
    </r>
    <r>
      <rPr>
        <sz val="16"/>
        <rFont val="Arial"/>
        <family val="2"/>
        <charset val="204"/>
      </rPr>
      <t xml:space="preserve"> (4,4 витка на пог. метр)</t>
    </r>
  </si>
  <si>
    <t>60*80</t>
  </si>
  <si>
    <t>индивидуально</t>
  </si>
  <si>
    <t>80*80</t>
  </si>
  <si>
    <t>оцинкованное</t>
  </si>
  <si>
    <t>Наконечник L на столб 62*55</t>
  </si>
  <si>
    <t>Цвет</t>
  </si>
  <si>
    <t>Цена, руб</t>
  </si>
  <si>
    <t>Фотоэлемент BF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</si>
  <si>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заглушкой                                                                                                                                                                                                                                         </t>
  </si>
  <si>
    <t>1 штука</t>
  </si>
  <si>
    <t>Ответная планка SSKZ QF</t>
  </si>
  <si>
    <t>Ответная планка O-SET</t>
  </si>
  <si>
    <t xml:space="preserve">Крепление (2 скобы и болт М6х40) </t>
  </si>
  <si>
    <t>черный RAL 9005</t>
  </si>
  <si>
    <t>Заказы в стандартных цветах менее 150 погонных метров не принимаются.</t>
  </si>
  <si>
    <t>пвх</t>
  </si>
  <si>
    <t>2,0*</t>
  </si>
  <si>
    <t>2,0**</t>
  </si>
  <si>
    <t>нерж.</t>
  </si>
  <si>
    <t>цены действительны с</t>
  </si>
  <si>
    <t>Крепление временного ограждения</t>
  </si>
  <si>
    <t xml:space="preserve"> Декоративное полотно</t>
  </si>
  <si>
    <t xml:space="preserve">Укосина </t>
  </si>
  <si>
    <t>51 мм</t>
  </si>
  <si>
    <t>90*55*3000</t>
  </si>
  <si>
    <t>90*55*4000</t>
  </si>
  <si>
    <t>с полимерным покрытием</t>
  </si>
  <si>
    <t>РЕ</t>
  </si>
  <si>
    <t>цинк</t>
  </si>
  <si>
    <t>цинк/РЕ</t>
  </si>
  <si>
    <t>прямой край</t>
  </si>
  <si>
    <t>фигурный край</t>
  </si>
  <si>
    <t>PE dp 0,45</t>
  </si>
  <si>
    <t>Print dp 0,45</t>
  </si>
  <si>
    <t>Наконечник прямой 550 мм</t>
  </si>
  <si>
    <t>Наконечник прямой 950 мм</t>
  </si>
  <si>
    <t>Штакетник PE 0,5 GL/ dp®/ Print - М/П-образный</t>
  </si>
  <si>
    <t xml:space="preserve">Штакетник PE 0,45 dp / Print 0,45 dp- Круглый/Прямоугольный </t>
  </si>
  <si>
    <r>
      <t xml:space="preserve">Крепление для рулонной сетки
</t>
    </r>
    <r>
      <rPr>
        <sz val="16"/>
        <rFont val="Arial"/>
        <family val="2"/>
        <charset val="204"/>
      </rPr>
      <t>(пластиковая скоба+саморез 4,8х35)</t>
    </r>
  </si>
  <si>
    <t>Рекоменд. розничная цена, п.м./руб.</t>
  </si>
  <si>
    <r>
      <t xml:space="preserve">Крепление хомут 62*55 для наконечника </t>
    </r>
    <r>
      <rPr>
        <sz val="12"/>
        <rFont val="Arial"/>
        <family val="2"/>
        <charset val="204"/>
      </rPr>
      <t>(укомплектован антивандальными гайками М6)</t>
    </r>
  </si>
  <si>
    <t>Струна оцинкованная 2,5 мм для крепления СББ/ПББ</t>
  </si>
  <si>
    <t>Проволока оцинкованная 1,6 мм для крепления СББ/ПББ к струне</t>
  </si>
  <si>
    <t>Труба 40*20*2500 мм - 2 шт.   
Cтолб 62*55*2500 (3000) мм  - 1 шт. 
Х-кронштейн - 2 шт.</t>
  </si>
  <si>
    <t>Панель  860*1600 (1970)мм - 3 шт.
Направляющая  60*20*2500 мм  - 2 шт.
Стойка 84*48*2500 (3000) мм  - 2 шт.
Крышка универсальная - 1 шт.</t>
  </si>
  <si>
    <r>
      <t>Элементы панельных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</si>
  <si>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r>
      <t>Модульные ограждения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</si>
  <si>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>** - условия акции уточняйте у менеджера</t>
  </si>
  <si>
    <t>* - поддерживаются на складе</t>
  </si>
  <si>
    <t>Super</t>
  </si>
  <si>
    <t>Саморез металл-металл 5,5х19М бур.№3</t>
  </si>
  <si>
    <t>12 мл.</t>
  </si>
  <si>
    <t>Корректор для ремонта царапин цвета по RAL</t>
  </si>
  <si>
    <t>Возможно производство откатных ворот с заполнением панелью Bastion, в данном случае к стоимости откатных ворот Profi применяется наценка 10%</t>
  </si>
  <si>
    <t>Высота * Ширина, м.</t>
  </si>
  <si>
    <t xml:space="preserve">Столб оцинкованный с полимерным покрытием с заглушкой****                                                                                                                                                                                                                                       </t>
  </si>
  <si>
    <t>d51 * 1,2</t>
  </si>
  <si>
    <t>60 * 40 * 1,4</t>
  </si>
  <si>
    <t>42 * 21 * 1,0</t>
  </si>
  <si>
    <t>2,5*</t>
  </si>
  <si>
    <r>
      <t>Цена за 1 п.м. комплекта прямого не замкнутого участка</t>
    </r>
    <r>
      <rPr>
        <sz val="16"/>
        <rFont val="Arial"/>
        <family val="2"/>
        <charset val="204"/>
      </rPr>
      <t xml:space="preserve"> (столб d51 под бетон + панель + скоба-саморез/2,5)</t>
    </r>
    <r>
      <rPr>
        <b/>
        <sz val="16"/>
        <rFont val="Arial"/>
        <family val="2"/>
        <charset val="204"/>
      </rPr>
      <t xml:space="preserve">, руб.
</t>
    </r>
    <r>
      <rPr>
        <b/>
        <sz val="16"/>
        <color indexed="10"/>
        <rFont val="Arial"/>
        <family val="2"/>
        <charset val="204"/>
      </rPr>
      <t>Внимание! Расчет теоретический.</t>
    </r>
    <r>
      <rPr>
        <b/>
        <sz val="16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</si>
  <si>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Панели LIGHT</t>
  </si>
  <si>
    <r>
      <t xml:space="preserve">Панель LIGHT 
</t>
    </r>
    <r>
      <rPr>
        <b/>
        <sz val="16"/>
        <color theme="1" tint="0.249977111117893"/>
        <rFont val="Arial"/>
        <family val="2"/>
        <charset val="204"/>
      </rPr>
      <t>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>ячейка основная 200х55 мм  
диаметр прутка 3,5 мм</t>
    </r>
  </si>
  <si>
    <t>Элементы Ограждения Optima</t>
  </si>
  <si>
    <t>* - поддерживаются на складе в цинке
** - поддерживаются на складе в 6005</t>
  </si>
  <si>
    <r>
      <t>1,53 * 2,5</t>
    </r>
    <r>
      <rPr>
        <sz val="16"/>
        <color indexed="10"/>
        <rFont val="Arial"/>
        <family val="2"/>
        <charset val="204"/>
      </rPr>
      <t>**</t>
    </r>
  </si>
  <si>
    <r>
      <t>1,73 * 2,5</t>
    </r>
    <r>
      <rPr>
        <sz val="16"/>
        <color indexed="10"/>
        <rFont val="Arial"/>
        <family val="2"/>
        <charset val="204"/>
      </rPr>
      <t>**</t>
    </r>
  </si>
  <si>
    <r>
      <t>2,03 * 2,5</t>
    </r>
    <r>
      <rPr>
        <sz val="16"/>
        <color indexed="10"/>
        <rFont val="Arial"/>
        <family val="2"/>
        <charset val="204"/>
      </rPr>
      <t>**</t>
    </r>
  </si>
  <si>
    <t>2,5**</t>
  </si>
  <si>
    <t>1,5**</t>
  </si>
  <si>
    <r>
      <t>Элементы модульных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</si>
  <si>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>3,0**</t>
  </si>
  <si>
    <t xml:space="preserve">№1 -  поддерживаются на складе в цинке   </t>
  </si>
  <si>
    <t>примечание, №</t>
  </si>
  <si>
    <t>примечания:
№1 - поддерживается на складе в цинке</t>
  </si>
  <si>
    <t>примечания:
№2 - поддерживается на складе в цвете RAL 6005
№3 - поддерживается на складе в цвете RAL 8017
№4 - поддерживается на складе в цвете RAL 3005
№5 - поддерживается на складе в цвете RAL 7040</t>
  </si>
  <si>
    <t xml:space="preserve">треугольный или прямоугольный </t>
  </si>
  <si>
    <t xml:space="preserve">квадратный </t>
  </si>
  <si>
    <r>
      <t xml:space="preserve">Винтовая опора на фланце
</t>
    </r>
    <r>
      <rPr>
        <sz val="16"/>
        <rFont val="Arial"/>
        <family val="2"/>
        <charset val="204"/>
      </rPr>
      <t>76 (d опоры) х 210 (d фланца) х 2,5 (толщ. стали) мм</t>
    </r>
  </si>
  <si>
    <r>
      <t xml:space="preserve">Винтовая опора без фланца
</t>
    </r>
    <r>
      <rPr>
        <sz val="16"/>
        <rFont val="Arial"/>
        <family val="2"/>
        <charset val="204"/>
      </rPr>
      <t>114 (d опоры) х 2,5 (толщ. стали) мм</t>
    </r>
  </si>
  <si>
    <t>1,2 м</t>
  </si>
  <si>
    <t>1,5 м</t>
  </si>
  <si>
    <t>1,8 м</t>
  </si>
  <si>
    <r>
      <rPr>
        <b/>
        <u/>
        <sz val="16"/>
        <color theme="1" tint="0.249977111117893"/>
        <rFont val="Arial"/>
        <family val="2"/>
        <charset val="204"/>
      </rPr>
      <t>Стандартные цвета:</t>
    </r>
    <r>
      <rPr>
        <b/>
        <sz val="16"/>
        <color theme="1" tint="0.249977111117893"/>
        <rFont val="Arial"/>
        <family val="2"/>
        <charset val="204"/>
      </rPr>
      <t xml:space="preserve">  зеленый RAL 6005, синий RAL 5005,  серый RAL 7040, белый RAL 9016, желтый RAL 1021, красный RAL 3020, вишневый RAL 3005, коричневый RAL 8017, черный RAL 9005, бежевый RAL 1014 </t>
    </r>
  </si>
  <si>
    <r>
      <rPr>
        <b/>
        <sz val="16"/>
        <rFont val="Arial"/>
        <family val="2"/>
        <charset val="204"/>
      </rPr>
      <t>Внимание!</t>
    </r>
    <r>
      <rPr>
        <b/>
        <sz val="16"/>
        <color theme="1" tint="0.249977111117893"/>
        <rFont val="Arial"/>
        <family val="2"/>
        <charset val="204"/>
      </rPr>
      <t xml:space="preserve"> Продажа панельных ограждений ведется комплектно. Отдельно крепления, столбы или панели не продаются.</t>
    </r>
  </si>
  <si>
    <t>Производство не складских панелей LIGHT - только от 500 штук. 
Покраска панелей LIGHT в цвета кроме RAL6005 - только от 500 шт.</t>
  </si>
  <si>
    <r>
      <t xml:space="preserve">Секция временного ограждения (комплект) </t>
    </r>
    <r>
      <rPr>
        <b/>
        <sz val="16"/>
        <color indexed="10"/>
        <rFont val="Arial"/>
        <family val="2"/>
        <charset val="204"/>
      </rPr>
      <t>NEW</t>
    </r>
  </si>
  <si>
    <r>
      <t xml:space="preserve">PE 0,45 </t>
    </r>
    <r>
      <rPr>
        <b/>
        <sz val="16"/>
        <color indexed="10"/>
        <rFont val="Arial"/>
        <family val="2"/>
        <charset val="204"/>
      </rPr>
      <t>NEW</t>
    </r>
  </si>
  <si>
    <t>Панель PROTECT
С ПОЛИМЕРНЫМ ПОКРЫТИЕМ
заполнение труба 40*20</t>
  </si>
  <si>
    <t>1,0/2,5</t>
  </si>
  <si>
    <t>2,0/2,5</t>
  </si>
  <si>
    <t>Длина, м
min / max</t>
  </si>
  <si>
    <t>Панель PROFI</t>
  </si>
  <si>
    <r>
      <t xml:space="preserve">Сетка сварная рулонная 
Moreda Rivere Trafilliers
Jarditor
</t>
    </r>
    <r>
      <rPr>
        <sz val="16"/>
        <rFont val="Arial"/>
        <family val="2"/>
        <charset val="204"/>
      </rPr>
      <t>цвет зеленый*</t>
    </r>
  </si>
  <si>
    <t>Стандарт. цвета</t>
  </si>
  <si>
    <t>1. Привод Nice (Италия) Road400KIT (для ворот до 6 м) или Road500KIT (для ворот более 6,5 м)
2. Встроенный блок управления
3. Встроенный радиоприемник</t>
  </si>
  <si>
    <r>
      <t>Откатные ворота Grand Line</t>
    </r>
    <r>
      <rPr>
        <b/>
        <vertAlign val="superscript"/>
        <sz val="20"/>
        <color indexed="10"/>
        <rFont val="Calibri"/>
        <family val="2"/>
        <charset val="204"/>
      </rPr>
      <t>®</t>
    </r>
  </si>
  <si>
    <t>Наименование 
Откатных ворот</t>
  </si>
  <si>
    <r>
      <t>Цена за 1 п.м. комплекта прямого не замкнутого участка</t>
    </r>
    <r>
      <rPr>
        <sz val="14"/>
        <rFont val="Arial"/>
        <family val="2"/>
        <charset val="204"/>
      </rPr>
      <t xml:space="preserve"> (столб 62*55 под бетон + панель + скоба-болт/2,5)</t>
    </r>
    <r>
      <rPr>
        <b/>
        <sz val="14"/>
        <rFont val="Arial"/>
        <family val="2"/>
        <charset val="204"/>
      </rPr>
      <t xml:space="preserve">, руб.
</t>
    </r>
    <r>
      <rPr>
        <b/>
        <sz val="14"/>
        <color indexed="10"/>
        <rFont val="Arial"/>
        <family val="2"/>
        <charset val="204"/>
      </rPr>
      <t>Внимание! Расчет теоретический.</t>
    </r>
    <r>
      <rPr>
        <b/>
        <sz val="14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</si>
  <si>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Zn</t>
  </si>
  <si>
    <t>PE</t>
  </si>
  <si>
    <t>примечание №</t>
  </si>
  <si>
    <t>0,63 х 2,5</t>
  </si>
  <si>
    <t>0,83 х 2,5</t>
  </si>
  <si>
    <t>1,23 х 2,5</t>
  </si>
  <si>
    <t>1,43 х 2,5</t>
  </si>
  <si>
    <t>1,93 х 2,5</t>
  </si>
  <si>
    <t>2,23 х 2,5</t>
  </si>
  <si>
    <t>2,63 х 2,4</t>
  </si>
  <si>
    <t>2,83 х 2,4</t>
  </si>
  <si>
    <t>3,03 х 2,4</t>
  </si>
  <si>
    <t>3,33 х 2,4</t>
  </si>
  <si>
    <t>1,03 х 2,5</t>
  </si>
  <si>
    <t>1,53 х 2,5</t>
  </si>
  <si>
    <t>1,73 х 2,5</t>
  </si>
  <si>
    <t>1,73 х 3,0</t>
  </si>
  <si>
    <t>2,03 х 2,5</t>
  </si>
  <si>
    <t>2,03 х 3,0</t>
  </si>
  <si>
    <t>2,43 х 2,5</t>
  </si>
  <si>
    <t>Высота х Ширина, м.</t>
  </si>
  <si>
    <t>№1 -  поддерживаются на складе в цинке</t>
  </si>
  <si>
    <t>Примечания:</t>
  </si>
  <si>
    <r>
      <rPr>
        <b/>
        <u/>
        <sz val="16"/>
        <rFont val="Arial"/>
        <family val="2"/>
        <charset val="204"/>
      </rPr>
      <t xml:space="preserve">Заказы в стандартных цветах: </t>
    </r>
    <r>
      <rPr>
        <b/>
        <sz val="16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менее 150 погонных метров не принимаются
</t>
    </r>
    <r>
      <rPr>
        <b/>
        <u/>
        <sz val="16"/>
        <rFont val="Arial"/>
        <family val="2"/>
        <charset val="204"/>
      </rPr>
      <t>Остальные цвета по запросу</t>
    </r>
    <r>
      <rPr>
        <u/>
        <sz val="16"/>
        <rFont val="Arial"/>
        <family val="2"/>
        <charset val="204"/>
      </rPr>
      <t>:</t>
    </r>
    <r>
      <rPr>
        <sz val="16"/>
        <rFont val="Arial"/>
        <family val="2"/>
        <charset val="204"/>
      </rPr>
      <t xml:space="preserve"> 
согласно каталогу RAL с наценкой  10 %, в количестве не менее 300 погонных метров, при условии, что панели являются складскими в цинке </t>
    </r>
  </si>
  <si>
    <r>
      <t xml:space="preserve">Стандартные цвета:  
</t>
    </r>
    <r>
      <rPr>
        <sz val="16"/>
        <rFont val="Arial"/>
        <family val="2"/>
        <charset val="204"/>
      </rPr>
      <t xml:space="preserve">зеленый RAL 6005, синий RAL 5005,  серый RAL 7040, белый RAL 9016, желтый RAL 1021, красный RAL 3020, вишневый RAL 3005, коричневый RAL 8017, черный RAL 9005, бежевый RAL 1014 </t>
    </r>
  </si>
  <si>
    <r>
      <t xml:space="preserve">Панель PROFI
</t>
    </r>
    <r>
      <rPr>
        <b/>
        <sz val="16"/>
        <color rgb="FFFF000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theme="1" tint="0.249977111117893"/>
        <rFont val="Arial"/>
        <family val="2"/>
        <charset val="204"/>
      </rPr>
      <t>оцинкованного 4,8 мм
с полимерным прокрытием 5,0 мм</t>
    </r>
  </si>
  <si>
    <r>
      <t xml:space="preserve">Панель MEDIUM
</t>
    </r>
    <r>
      <rPr>
        <b/>
        <sz val="16"/>
        <color rgb="FFFF000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theme="1" tint="0.249977111117893"/>
        <rFont val="Arial"/>
        <family val="2"/>
        <charset val="204"/>
      </rPr>
      <t>оцинкованного 3,8 мм
с полимерным прокрытием 4,0 мм</t>
    </r>
  </si>
  <si>
    <t>Панели BASTION 5/6, BASTION 6/8</t>
  </si>
  <si>
    <t>Панели MEDIUM, PROFI, EXPERT</t>
  </si>
  <si>
    <t>1,63 х 2,5</t>
  </si>
  <si>
    <t>1,83 х 2,5</t>
  </si>
  <si>
    <t>3,23 х 2,4</t>
  </si>
  <si>
    <t>3,43 х 2,4</t>
  </si>
  <si>
    <t>Столб оцинкованный
с отверстиями или резьбовыми втулками 
в профиле 90*55 и 62*55 и заглушкой</t>
  </si>
  <si>
    <r>
      <t xml:space="preserve">Панель EXPERT
</t>
    </r>
    <r>
      <rPr>
        <b/>
        <sz val="16"/>
        <color rgb="FFFF000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theme="1" tint="0.249977111117893"/>
        <rFont val="Arial"/>
        <family val="2"/>
        <charset val="204"/>
      </rPr>
      <t>оцинкованного 6,0 мм
с полимерным прокрытием 6,2 мм</t>
    </r>
  </si>
  <si>
    <r>
      <t xml:space="preserve">Панель BASTION 5/6
</t>
    </r>
    <r>
      <rPr>
        <b/>
        <sz val="16"/>
        <color rgb="FFFF000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 
диаметр оцинкованного прутка 
</t>
    </r>
    <r>
      <rPr>
        <b/>
        <sz val="14"/>
        <color theme="1" tint="0.249977111117893"/>
        <rFont val="Arial"/>
        <family val="2"/>
        <charset val="204"/>
      </rPr>
      <t>вертикального 4,8 мм 
горизонтального 6,0 мм</t>
    </r>
  </si>
  <si>
    <r>
      <t xml:space="preserve">Панель BASTION 6/8
</t>
    </r>
    <r>
      <rPr>
        <b/>
        <sz val="16"/>
        <color rgb="FFFF000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theme="1" tint="0.249977111117893"/>
        <rFont val="Arial"/>
        <family val="2"/>
        <charset val="204"/>
      </rPr>
      <t xml:space="preserve">ячейка основная 200х55 мм 
диаметр оцинкованного прутка
</t>
    </r>
    <r>
      <rPr>
        <b/>
        <sz val="14"/>
        <color theme="1" tint="0.249977111117893"/>
        <rFont val="Arial"/>
        <family val="2"/>
        <charset val="204"/>
      </rPr>
      <t>вертикального 6,0 мм 
горизонтального 8,0 мм</t>
    </r>
    <r>
      <rPr>
        <b/>
        <u/>
        <sz val="14"/>
        <color theme="1" tint="0.249977111117893"/>
        <rFont val="Arial"/>
        <family val="2"/>
        <charset val="204"/>
      </rPr>
      <t/>
    </r>
  </si>
  <si>
    <r>
      <t xml:space="preserve">Крепление скоба - винт 
</t>
    </r>
    <r>
      <rPr>
        <sz val="16"/>
        <rFont val="Arial"/>
        <family val="2"/>
        <charset val="204"/>
      </rPr>
      <t>(винт М6*30)</t>
    </r>
  </si>
  <si>
    <r>
      <t xml:space="preserve">Крепление скоба - болт
</t>
    </r>
    <r>
      <rPr>
        <sz val="16"/>
        <rFont val="Arial"/>
        <family val="2"/>
        <charset val="204"/>
      </rPr>
      <t>(болт М6*85/25/100  + гайка антивандальная М6)</t>
    </r>
  </si>
  <si>
    <t>Внимание! Продажа панельных ограждений ведется комплектно. Отдельно панели, крепления, столбы, винтовые опоры и т.д. не продаются.</t>
  </si>
  <si>
    <r>
      <t xml:space="preserve">Эконом NEW
</t>
    </r>
    <r>
      <rPr>
        <sz val="16"/>
        <rFont val="Arial"/>
        <family val="2"/>
        <charset val="204"/>
      </rPr>
      <t>(без заполнения)</t>
    </r>
  </si>
  <si>
    <r>
      <t xml:space="preserve">Крепление скоба (саморез 5,5*32)
</t>
    </r>
    <r>
      <rPr>
        <sz val="16"/>
        <rFont val="Arial"/>
        <family val="2"/>
        <charset val="204"/>
      </rPr>
      <t>саморез оцинкованный, неокрашенный</t>
    </r>
  </si>
  <si>
    <t xml:space="preserve">№2 -  поддерживаются на складе в полимерном покрытии: цвет зеленый RAL 6005 </t>
  </si>
  <si>
    <t>№3 - поддерживаются на складе в полимерном покрытии: серый RAL 7040</t>
  </si>
  <si>
    <t>№4 - поддерживаются на складе в полимерном покрытии: коричневый RAL 8017</t>
  </si>
  <si>
    <t>№5 - поддерживаются на складе в полимерном покрытии: вишневый RAL 3005</t>
  </si>
  <si>
    <t>№2 -  поддерживаются на складе в полимерном покрытии: цвет зеленый RAL 6005</t>
  </si>
  <si>
    <t>№3 -  поддерживаются на складе в полимерном покрытии: цвет коричневый RAL 8017</t>
  </si>
  <si>
    <t>№4 -  поддерживаются на складе в полимерном покрытии: цвет серый RAL 7040</t>
  </si>
  <si>
    <t>Наконечник L приваренный к столбу 62х55</t>
  </si>
  <si>
    <t>Наконечник V приваренный к столбу 62х55</t>
  </si>
  <si>
    <r>
      <t xml:space="preserve">Фланец приваренный оцинкованный с полимерным покрытием
</t>
    </r>
    <r>
      <rPr>
        <i/>
        <sz val="16"/>
        <rFont val="Arial"/>
        <family val="2"/>
        <charset val="204"/>
      </rPr>
      <t xml:space="preserve">Внимание! 
Возможно </t>
    </r>
    <r>
      <rPr>
        <i/>
        <u/>
        <sz val="16"/>
        <rFont val="Arial"/>
        <family val="2"/>
        <charset val="204"/>
      </rPr>
      <t>только</t>
    </r>
    <r>
      <rPr>
        <i/>
        <sz val="16"/>
        <rFont val="Arial"/>
        <family val="2"/>
        <charset val="204"/>
      </rPr>
      <t xml:space="preserve"> для столбов высотой </t>
    </r>
    <r>
      <rPr>
        <i/>
        <u/>
        <sz val="16"/>
        <rFont val="Arial"/>
        <family val="2"/>
        <charset val="204"/>
      </rPr>
      <t>до 3 метров</t>
    </r>
  </si>
  <si>
    <r>
      <t xml:space="preserve">Усиление фланца косынками
</t>
    </r>
    <r>
      <rPr>
        <i/>
        <sz val="16"/>
        <rFont val="Arial"/>
        <family val="2"/>
        <charset val="204"/>
      </rPr>
      <t xml:space="preserve">Внимание! Обязательно для столбов высотой </t>
    </r>
    <r>
      <rPr>
        <i/>
        <u/>
        <sz val="16"/>
        <rFont val="Arial"/>
        <family val="2"/>
        <charset val="204"/>
      </rPr>
      <t>более 3 метров</t>
    </r>
  </si>
  <si>
    <t>к столбу 62*55, 90*55 или 80*80</t>
  </si>
  <si>
    <t>к столбу 80*80 или 90*55</t>
  </si>
  <si>
    <t>Крепление к столбам ворот / калиток</t>
  </si>
  <si>
    <t>1. Рейка оцинкованная зубчатая ROA8
2. Профиль С</t>
  </si>
  <si>
    <t>3. Болт с полукруглой головкой
4. Пластина закладная для профиля С</t>
  </si>
  <si>
    <t>5. Скоба для профиля С</t>
  </si>
  <si>
    <t>Дополнительно возможно приобрести</t>
  </si>
  <si>
    <r>
      <rPr>
        <b/>
        <sz val="16"/>
        <color indexed="10"/>
        <rFont val="Arial"/>
        <family val="2"/>
        <charset val="204"/>
      </rPr>
      <t>Отк</t>
    </r>
    <r>
      <rPr>
        <b/>
        <sz val="16"/>
        <color rgb="FFFF0000"/>
        <rFont val="Arial"/>
        <family val="2"/>
        <charset val="204"/>
      </rPr>
      <t>атные ворота Profi воз</t>
    </r>
    <r>
      <rPr>
        <b/>
        <sz val="16"/>
        <rFont val="Arial"/>
        <family val="2"/>
        <charset val="204"/>
      </rPr>
      <t xml:space="preserve">можно заказать в исполнении </t>
    </r>
    <r>
      <rPr>
        <b/>
        <sz val="16"/>
        <color rgb="FFFF0000"/>
        <rFont val="Arial"/>
        <family val="2"/>
        <charset val="204"/>
      </rPr>
      <t>с механическим замком</t>
    </r>
    <r>
      <rPr>
        <b/>
        <sz val="16"/>
        <rFont val="Arial"/>
        <family val="2"/>
        <charset val="204"/>
      </rPr>
      <t>. 
Данную опцию необходимо указать при размещении заказа на производство, к стоимости ворот добавится стоимость замка</t>
    </r>
  </si>
  <si>
    <t>Расчет стоимости столбов с фланцами:</t>
  </si>
  <si>
    <t>стоимость столба + стоимость фланца + стоимость усиления фланца</t>
  </si>
  <si>
    <t>1,0 - 2,4 м</t>
  </si>
  <si>
    <t>2,4 - 3,0 м</t>
  </si>
  <si>
    <t>3,0 - 4,0 м</t>
  </si>
  <si>
    <t>сечение столба</t>
  </si>
  <si>
    <t>60х60х2,0 мм</t>
  </si>
  <si>
    <t>62х55х1,4 мм</t>
  </si>
  <si>
    <t>80х80х2,0 мм</t>
  </si>
  <si>
    <t>90х55х1,6 мм</t>
  </si>
  <si>
    <t>не применяется</t>
  </si>
  <si>
    <r>
      <t xml:space="preserve">фланец без усиления 
</t>
    </r>
    <r>
      <rPr>
        <sz val="14"/>
        <rFont val="Arial"/>
        <family val="2"/>
        <charset val="204"/>
      </rPr>
      <t>не применяется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1-2 ветровые районы</t>
    </r>
  </si>
  <si>
    <r>
      <t>Типы местности:
"</t>
    </r>
    <r>
      <rPr>
        <sz val="16"/>
        <rFont val="Arial"/>
        <family val="2"/>
        <charset val="204"/>
      </rPr>
      <t>А" - открытые побережья морей, озёр и водохранилищ, пустыни, степи, лесостепи, тундра
"B" - городские территории, лесные массивы и другие местности равномерно покрытые препятствиями высотой не более 10 метров
"С" - городские районы с застройкой зданиями высотой более 25 метров</t>
    </r>
  </si>
  <si>
    <t>Расчет проводился для ограждения шириной 2,5 метра при типе местности B</t>
  </si>
  <si>
    <t>для столбов высотой от 4,0 метров выполняется индивидуальный расчёт</t>
  </si>
  <si>
    <t>высота столба</t>
  </si>
  <si>
    <t>Применение фланцев для панельного ограждения с шириной пролёта 2,5 м:</t>
  </si>
  <si>
    <r>
      <rPr>
        <b/>
        <sz val="14"/>
        <rFont val="Arial"/>
        <family val="2"/>
        <charset val="204"/>
      </rPr>
      <t xml:space="preserve">фланец без усиления </t>
    </r>
    <r>
      <rPr>
        <sz val="14"/>
        <rFont val="Arial"/>
        <family val="2"/>
        <charset val="204"/>
      </rPr>
      <t xml:space="preserve">
1-7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</si>
  <si>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 ветровой район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</si>
  <si>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</si>
  <si>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2</t>
    </r>
    <r>
      <rPr>
        <sz val="14"/>
        <rFont val="Arial"/>
        <family val="2"/>
        <charset val="204"/>
      </rPr>
      <t>-4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</si>
  <si>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1-4 ветровые районы</t>
    </r>
    <r>
      <rPr>
        <b/>
        <sz val="14"/>
        <rFont val="Arial"/>
        <family val="2"/>
        <charset val="204"/>
      </rPr>
      <t xml:space="preserve">
фланец усиленный 
5</t>
    </r>
    <r>
      <rPr>
        <sz val="14"/>
        <rFont val="Arial"/>
        <family val="2"/>
        <charset val="204"/>
      </rPr>
      <t>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</si>
  <si>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2-4 ветровые районы</t>
    </r>
  </si>
  <si>
    <t>60 * 40 * 1,2</t>
  </si>
  <si>
    <t>RAL:
3005
6005
8017</t>
  </si>
  <si>
    <t>1,03*2,5</t>
  </si>
  <si>
    <t>RAL:
3005
6005*
8017</t>
  </si>
  <si>
    <t>Бетонное основание усиленное*</t>
  </si>
  <si>
    <t>Дополнительные элементы для монтажа откатных ворот на Кирпичные столбы</t>
  </si>
  <si>
    <t>Кронштейн крепления нижнего и верхнего ловителей</t>
  </si>
  <si>
    <t>Кронштейн крепления поддерживающих роликов</t>
  </si>
  <si>
    <t xml:space="preserve">Кронштейн FLGU.400.0904 </t>
  </si>
  <si>
    <t xml:space="preserve">Кронштейн SGN.02.718 </t>
  </si>
  <si>
    <t>2 шт 
на один проём</t>
  </si>
  <si>
    <t>1 шт
на один проём</t>
  </si>
  <si>
    <r>
      <t xml:space="preserve">1. Рама ворот составная с заполнением (кроме ворот Эконом) для удобства транспортировки
2. 2 опорных столба П-образных 60*60 или 80*80 в зависимости от веса ворот
3. Роликовую систему (Alutech для откатных ворот), в которую входят опоры роликовые 2шт, шина направляющая, ролик опорный, улавливатель нижний, улавливатель верхний, шина с поддерживающими роликами, подставка для роликовых опор 2шт, заглушка балки торцевая, анкерные болты
</t>
    </r>
    <r>
      <rPr>
        <sz val="16"/>
        <color rgb="FFFF0000"/>
        <rFont val="Arial"/>
        <family val="2"/>
        <charset val="204"/>
      </rPr>
      <t>В комплект поставки ворот Эконом заполнение не входит. Заполнение приобретается отдельно.</t>
    </r>
  </si>
  <si>
    <t>Столб оцинкованный с полимерным покрытием 
с отверстиями или резьбовыми втулками 
в профиле 62*55, 90*55 и 60*80 и 80*80 и заглушкой</t>
  </si>
  <si>
    <t>Mesh-Brico</t>
  </si>
  <si>
    <t>0,5 / 2,5</t>
  </si>
  <si>
    <t>0,5 / 3,5</t>
  </si>
  <si>
    <t>Диаметр проволоки, мм</t>
  </si>
  <si>
    <r>
      <t>Velur</t>
    </r>
    <r>
      <rPr>
        <vertAlign val="superscript"/>
        <sz val="16"/>
        <color indexed="8"/>
        <rFont val="Arial"/>
        <family val="2"/>
        <charset val="204"/>
      </rPr>
      <t>®</t>
    </r>
    <r>
      <rPr>
        <sz val="16"/>
        <color indexed="8"/>
        <rFont val="Arial"/>
        <family val="2"/>
        <charset val="204"/>
      </rPr>
      <t>20</t>
    </r>
    <r>
      <rPr>
        <b/>
        <sz val="16"/>
        <color indexed="10"/>
        <rFont val="Arial"/>
        <family val="2"/>
        <charset val="204"/>
      </rPr>
      <t xml:space="preserve"> NEW</t>
    </r>
  </si>
  <si>
    <t>Наконечник L Medium</t>
  </si>
  <si>
    <t>Наконечник V Medium</t>
  </si>
  <si>
    <r>
      <t xml:space="preserve">Крепление скоба Bastion 6/8
</t>
    </r>
    <r>
      <rPr>
        <sz val="16"/>
        <rFont val="Arial"/>
        <family val="2"/>
        <charset val="204"/>
      </rPr>
      <t>(болт М6*100/120/130 + гайка антивандальная М6)</t>
    </r>
  </si>
  <si>
    <t>4. 2 пульта Flo2R-S
5. Зубчатую рейку оцинкованную Alutech с креплением (Рейка оцинкованная зубчатая ROA8, болт с полукруглой головкой, профиль С, пластина закладная для профиля С, скоба для профиля С)</t>
  </si>
  <si>
    <t>Элементы подсистемы Эконом в других цветах изготавливаются объемом от 150 м.п.</t>
  </si>
  <si>
    <r>
      <t>Крепление хомут 51 мм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(комплектация: хомут 51 - 1 шт; крепление для рулонной сетки - 1 шт; болт М6х25 с круглой головкой - 1 шт; шайба А6 - 1 шт; гайка М6 - 1шт)</t>
    </r>
  </si>
  <si>
    <r>
      <t xml:space="preserve">Внимание!
</t>
    </r>
    <r>
      <rPr>
        <b/>
        <sz val="16"/>
        <color theme="1" tint="0.249977111117893"/>
        <rFont val="Arial"/>
        <family val="2"/>
        <charset val="204"/>
      </rPr>
      <t xml:space="preserve">Использование панелей Light возможно только в 1 - 3м снеговых районах РФ. Использование в районах с более высокой снеговой нагрузкой может привести к деформации панелей - провисание. </t>
    </r>
  </si>
  <si>
    <t>PE 0,4</t>
  </si>
  <si>
    <t>Все цены на металлический штакетник указаны за 1 погонный метр</t>
  </si>
  <si>
    <r>
      <rPr>
        <b/>
        <sz val="16"/>
        <rFont val="Arial"/>
        <family val="2"/>
        <charset val="204"/>
      </rPr>
      <t>Металлический штакетник Круглый и Прямоугольный</t>
    </r>
    <r>
      <rPr>
        <sz val="16"/>
        <rFont val="Arial"/>
        <family val="2"/>
        <charset val="204"/>
      </rPr>
      <t xml:space="preserve"> изготавливается в любом количестве в указанных в таблице покрытиях и цветах</t>
    </r>
  </si>
  <si>
    <t xml:space="preserve">Возможно изготовление Круглого и Прямоугольного штакетниках в других цветах и покрытиях при заказе от 3000 м.п. </t>
  </si>
  <si>
    <t>оцинкованное + с полимерным покрытием</t>
  </si>
  <si>
    <r>
      <t xml:space="preserve">При заказе откатных ворот Profi и Bastion необходимо указать сторону отката ворот: вправо или влево. Сторона откатывания определяется </t>
    </r>
    <r>
      <rPr>
        <b/>
        <u/>
        <sz val="16"/>
        <color rgb="FFFF0000"/>
        <rFont val="Arial"/>
        <family val="2"/>
        <charset val="204"/>
      </rPr>
      <t>при взгляде со стороны улицы</t>
    </r>
    <r>
      <rPr>
        <b/>
        <sz val="16"/>
        <color rgb="FFFF0000"/>
        <rFont val="Arial"/>
        <family val="2"/>
        <charset val="204"/>
      </rPr>
      <t>.</t>
    </r>
  </si>
  <si>
    <t>Цвета ограждений Премиум Плюс, Премиум на складе: вишневый RAL 3005, зеленый RAL 6005, серый RAL 7024, коричневый RAL 8017, коричневый RR 32</t>
  </si>
  <si>
    <t>Цвета ограждений Стандарт на складе: вишневый RAL 3005, зеленый RAL 6005, коричневый RAL 8017</t>
  </si>
  <si>
    <t>Цвета элементов подсистемы Эконом на складе: для секции шириной 2,5 м - вишневый RAL 3005, зеленый RAL 6005, коричневый RAL 8017</t>
  </si>
  <si>
    <t>Декоративное полотно на складе: RAL 1013, RAL 1014, RAL 8017</t>
  </si>
  <si>
    <t>Штакетник 
круглый и прямоугольный</t>
  </si>
  <si>
    <t>круглый</t>
  </si>
  <si>
    <t>прямоугольный</t>
  </si>
  <si>
    <t>Складской ассортимент Штакетника</t>
  </si>
  <si>
    <r>
      <rPr>
        <b/>
        <sz val="16"/>
        <rFont val="Arial"/>
        <family val="2"/>
        <charset val="204"/>
      </rPr>
      <t>Стандартные цвета PROTECT</t>
    </r>
    <r>
      <rPr>
        <sz val="16"/>
        <rFont val="Arial"/>
        <family val="2"/>
        <charset val="204"/>
      </rPr>
      <t>: зеленый RAL 6005, синий RAL 5005,  серый RAL 7040, белый RAL 9016, желтый RAL 1021, красный RAL 3020, вишневый RAL 3005, коричневый RAL 8017, черный RAL 9005, бежевый RAL 1014.</t>
    </r>
  </si>
  <si>
    <r>
      <rPr>
        <b/>
        <sz val="16"/>
        <rFont val="Arial"/>
        <family val="2"/>
        <charset val="204"/>
      </rPr>
      <t>Заказы на ограждение PROTECT</t>
    </r>
    <r>
      <rPr>
        <sz val="16"/>
        <rFont val="Arial"/>
        <family val="2"/>
        <charset val="204"/>
      </rPr>
      <t xml:space="preserve"> принимаются </t>
    </r>
    <r>
      <rPr>
        <b/>
        <sz val="16"/>
        <rFont val="Arial"/>
        <family val="2"/>
        <charset val="204"/>
      </rPr>
      <t>от 50 шт</t>
    </r>
  </si>
  <si>
    <t>Остальные цвета по запросу согласно RAL с наценкой 10 %, в количестве не менее 300 погонных метров.</t>
  </si>
  <si>
    <t>Golden Dub, Antique Dub</t>
  </si>
  <si>
    <t>RAL 8017, RR32</t>
  </si>
  <si>
    <t>фигурный</t>
  </si>
  <si>
    <t>прямой</t>
  </si>
  <si>
    <t>Antique Dub</t>
  </si>
  <si>
    <t>2,0 м</t>
  </si>
  <si>
    <r>
      <t>Velur</t>
    </r>
    <r>
      <rPr>
        <b/>
        <vertAlign val="superscript"/>
        <sz val="16"/>
        <rFont val="Arial"/>
        <family val="2"/>
        <charset val="204"/>
      </rPr>
      <t>®</t>
    </r>
    <r>
      <rPr>
        <b/>
        <sz val="16"/>
        <rFont val="Arial"/>
        <family val="2"/>
        <charset val="204"/>
      </rPr>
      <t>20</t>
    </r>
  </si>
  <si>
    <r>
      <t xml:space="preserve">PE 
</t>
    </r>
    <r>
      <rPr>
        <sz val="16"/>
        <color indexed="8"/>
        <rFont val="Arial"/>
        <family val="2"/>
        <charset val="204"/>
      </rPr>
      <t>0,45</t>
    </r>
  </si>
  <si>
    <r>
      <t xml:space="preserve">PE dp 
</t>
    </r>
    <r>
      <rPr>
        <sz val="16"/>
        <color indexed="8"/>
        <rFont val="Arial"/>
        <family val="2"/>
        <charset val="204"/>
      </rPr>
      <t>0,45</t>
    </r>
  </si>
  <si>
    <r>
      <t xml:space="preserve">Print dp 
</t>
    </r>
    <r>
      <rPr>
        <sz val="16"/>
        <color indexed="8"/>
        <rFont val="Arial"/>
        <family val="2"/>
        <charset val="204"/>
      </rPr>
      <t>0,45</t>
    </r>
  </si>
  <si>
    <t>RAL 6005, 8017</t>
  </si>
  <si>
    <t>RAL 8017</t>
  </si>
  <si>
    <t>RAL 8004</t>
  </si>
  <si>
    <r>
      <t>Временные ограждения, 
Рулонная сетка и 
Металлический Штакетник Grand Line</t>
    </r>
    <r>
      <rPr>
        <b/>
        <vertAlign val="superscript"/>
        <sz val="20"/>
        <color indexed="10"/>
        <rFont val="Calibri"/>
        <family val="2"/>
        <charset val="204"/>
      </rPr>
      <t>®</t>
    </r>
  </si>
  <si>
    <r>
      <rPr>
        <b/>
        <sz val="16"/>
        <color indexed="8"/>
        <rFont val="Arial"/>
        <family val="2"/>
        <charset val="204"/>
      </rPr>
      <t>Grass:</t>
    </r>
    <r>
      <rPr>
        <sz val="16"/>
        <color indexed="8"/>
        <rFont val="Arial"/>
        <family val="2"/>
        <charset val="204"/>
      </rPr>
      <t xml:space="preserve">
Элемент модульных ограждений Grand Line®:
Стойка 84х48 -1шт
Направляющая 60х20 - 1шт
Крышка универсальная - 1шт
Панель PROFI или MEDIUM - 1шт
Крепление две скобы+болт М6х40 - 2шт на 1 пару стоек
Заклепки, окрашенные в цвет ограждения</t>
    </r>
  </si>
  <si>
    <r>
      <rPr>
        <b/>
        <sz val="16"/>
        <color indexed="8"/>
        <rFont val="Arial"/>
        <family val="2"/>
        <charset val="204"/>
      </rPr>
      <t>Barrier:</t>
    </r>
    <r>
      <rPr>
        <sz val="16"/>
        <color indexed="8"/>
        <rFont val="Arial"/>
        <family val="2"/>
        <charset val="204"/>
      </rPr>
      <t xml:space="preserve">
Панель PROFI или MEDIUM приваренные к трубе 40х20
Столб 62х55*1,1 - 1шт
Крепление две скобы + болт М6х100 с антивандальными гайками - 2 шт на столб</t>
    </r>
  </si>
  <si>
    <t>0,6 x 0,2 x 0,125</t>
  </si>
  <si>
    <t>RR 32, 
RAL 3005, 5005, 6005, 7024, 8017</t>
  </si>
  <si>
    <t>RR 32,
RAL 8017</t>
  </si>
  <si>
    <t>1,74 х 3,1</t>
  </si>
  <si>
    <t>0,51 x 1,95</t>
  </si>
  <si>
    <t>Панель временного ограждения - 1 шт</t>
  </si>
  <si>
    <t>Столб временного ограждения 51 х 1,2 - 2 шт</t>
  </si>
  <si>
    <r>
      <t xml:space="preserve">Цена за 1 п.м. комплекта прямого не замкнутого участка </t>
    </r>
    <r>
      <rPr>
        <sz val="15"/>
        <rFont val="Arial"/>
        <family val="2"/>
        <charset val="204"/>
      </rPr>
      <t>(столб 62*55 под бетон+панель+крепеж L-кронштейн)</t>
    </r>
    <r>
      <rPr>
        <b/>
        <sz val="15"/>
        <rFont val="Arial"/>
        <family val="2"/>
        <charset val="204"/>
      </rPr>
      <t xml:space="preserve">, руб. </t>
    </r>
    <r>
      <rPr>
        <b/>
        <sz val="15"/>
        <color indexed="10"/>
        <rFont val="Arial"/>
        <family val="2"/>
        <charset val="204"/>
      </rPr>
      <t>Внимание! Расчет теоретический.</t>
    </r>
    <r>
      <rPr>
        <b/>
        <sz val="15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</si>
  <si>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80*80*4,0</t>
  </si>
  <si>
    <r>
      <t>Распашные ворота и калитки Grand Line</t>
    </r>
    <r>
      <rPr>
        <b/>
        <vertAlign val="superscript"/>
        <sz val="20"/>
        <color indexed="10"/>
        <rFont val="Arial Cyr"/>
        <charset val="204"/>
      </rPr>
      <t>®</t>
    </r>
  </si>
  <si>
    <t>Изображение</t>
  </si>
  <si>
    <r>
      <t>Распашные ворота Profi / Bastion</t>
    </r>
    <r>
      <rPr>
        <vertAlign val="superscript"/>
        <sz val="16"/>
        <rFont val="Arial"/>
        <family val="2"/>
        <charset val="204"/>
      </rPr>
      <t>1</t>
    </r>
  </si>
  <si>
    <r>
      <t>Панель Profi / Bastion</t>
    </r>
    <r>
      <rPr>
        <vertAlign val="superscript"/>
        <sz val="16"/>
        <rFont val="Arial"/>
        <family val="2"/>
        <charset val="204"/>
      </rPr>
      <t>1</t>
    </r>
  </si>
  <si>
    <r>
      <t>Калитка Profi / Bastion</t>
    </r>
    <r>
      <rPr>
        <vertAlign val="superscript"/>
        <sz val="16"/>
        <rFont val="Arial"/>
        <family val="2"/>
        <charset val="204"/>
      </rPr>
      <t>1</t>
    </r>
  </si>
  <si>
    <t>Основной Комплект</t>
  </si>
  <si>
    <t>Привод электромеханический NICE WG 4024 - 2 шт, 
Блок управления МС424 - 1шт 
Приемник SMXI - 1шт, Пульт FLOR2RE - 2шт, 
Кронштейны крепления к столбам и створкам</t>
  </si>
  <si>
    <t>Высота/Ширина, м</t>
  </si>
  <si>
    <t>Вес,кг</t>
  </si>
  <si>
    <t>Привод электромеханический TOONA TO5016/Р - 2шт, 
Блок управления А60/А - 1шт, 
Приемник встраиваемый 4к SMXIS - 1шт, 
Пульт ДУ 2к Smilo SM2 - 2шт</t>
  </si>
  <si>
    <t>Калитка Премиум</t>
  </si>
  <si>
    <t>1,65*1,0</t>
  </si>
  <si>
    <t>полимер 
RAL6005, RAL3005, RAL8017</t>
  </si>
  <si>
    <t>2,00*1,0</t>
  </si>
  <si>
    <t xml:space="preserve">Калитка Премиум Плюс  </t>
  </si>
  <si>
    <t xml:space="preserve"> 2,00*1,0</t>
  </si>
  <si>
    <t>Лампа сигнальная 12В ML</t>
  </si>
  <si>
    <t xml:space="preserve"> 2,40*1,0</t>
  </si>
  <si>
    <t xml:space="preserve">Ворота Премиум </t>
  </si>
  <si>
    <t>1,65*3,6</t>
  </si>
  <si>
    <t>2,00*3,6</t>
  </si>
  <si>
    <t xml:space="preserve">Ворота Премиум Плюс </t>
  </si>
  <si>
    <t>Цвет/покрытие</t>
  </si>
  <si>
    <t>2,40*3,6</t>
  </si>
  <si>
    <t xml:space="preserve">Проушины для навесного замка </t>
  </si>
  <si>
    <t>Проушины – 2 шт
Саморезы 5,5 х 19 – 8 шт</t>
  </si>
  <si>
    <t>зеленый RAL 6005
черный RAL 9005</t>
  </si>
  <si>
    <t>Калитки доступны в конструктиве с рамками из круглой трубы 51 мм и из прямоугольной трубы 60х40 мм</t>
  </si>
  <si>
    <r>
      <t xml:space="preserve">Засов для калиток и ворот Profi </t>
    </r>
    <r>
      <rPr>
        <b/>
        <sz val="16"/>
        <color indexed="10"/>
        <rFont val="Arial Cyr"/>
        <charset val="204"/>
      </rPr>
      <t>NEW</t>
    </r>
  </si>
  <si>
    <t>NoLock (без замка)</t>
  </si>
  <si>
    <t>Lock (с замком)</t>
  </si>
  <si>
    <t>Калитка Medium</t>
  </si>
  <si>
    <t>Карта Medium
(без ребер жесткости)</t>
  </si>
  <si>
    <t>Уголок - 2 шт
Саморезы 5,5х19 - 4 шт</t>
  </si>
  <si>
    <t>Ворота доступны в конструктиве с рамками из круглой трубы 51 мм и из прямоугольной трубы 60х40 мм</t>
  </si>
  <si>
    <t>Комплект ворот и калитки 
Medium NoLock (без замка)</t>
  </si>
  <si>
    <r>
      <t xml:space="preserve">3,5 </t>
    </r>
    <r>
      <rPr>
        <sz val="16"/>
        <rFont val="Arial"/>
        <family val="2"/>
        <charset val="204"/>
      </rPr>
      <t>(рамка из 51)</t>
    </r>
  </si>
  <si>
    <r>
      <t xml:space="preserve">4,0 </t>
    </r>
    <r>
      <rPr>
        <sz val="16"/>
        <rFont val="Arial"/>
        <family val="2"/>
        <charset val="204"/>
      </rPr>
      <t>(рамка из 60х40)</t>
    </r>
  </si>
  <si>
    <r>
      <t xml:space="preserve">4,5 </t>
    </r>
    <r>
      <rPr>
        <sz val="16"/>
        <rFont val="Arial"/>
        <family val="2"/>
        <charset val="204"/>
      </rPr>
      <t>(рамка из 60х40)</t>
    </r>
  </si>
  <si>
    <r>
      <t>5,0</t>
    </r>
    <r>
      <rPr>
        <sz val="16"/>
        <rFont val="Arial"/>
        <family val="2"/>
        <charset val="204"/>
      </rPr>
      <t xml:space="preserve"> (рамка из 60х40)</t>
    </r>
  </si>
  <si>
    <r>
      <t>6,0</t>
    </r>
    <r>
      <rPr>
        <sz val="16"/>
        <rFont val="Arial"/>
        <family val="2"/>
        <charset val="204"/>
      </rPr>
      <t xml:space="preserve"> (рамка из 60х40)</t>
    </r>
  </si>
  <si>
    <t>NoLock</t>
  </si>
  <si>
    <t>Lock</t>
  </si>
  <si>
    <r>
      <rPr>
        <b/>
        <sz val="16"/>
        <rFont val="Arial Cyr"/>
        <charset val="204"/>
      </rPr>
      <t xml:space="preserve">Ворота: </t>
    </r>
    <r>
      <rPr>
        <sz val="16"/>
        <rFont val="Arial Cyr"/>
        <charset val="204"/>
      </rPr>
      <t xml:space="preserve">2 створки, 2 опорных столба, петли  Locinox GAM12, угол открывания 130 град, ригель, ответная планка
</t>
    </r>
    <r>
      <rPr>
        <b/>
        <sz val="16"/>
        <rFont val="Arial Cyr"/>
        <charset val="204"/>
      </rPr>
      <t xml:space="preserve">Калитка: </t>
    </r>
    <r>
      <rPr>
        <sz val="16"/>
        <rFont val="Arial Cyr"/>
        <charset val="204"/>
      </rPr>
      <t>1</t>
    </r>
    <r>
      <rPr>
        <b/>
        <sz val="16"/>
        <rFont val="Arial Cyr"/>
        <charset val="204"/>
      </rPr>
      <t xml:space="preserve"> </t>
    </r>
    <r>
      <rPr>
        <sz val="16"/>
        <rFont val="Arial Cyr"/>
        <charset val="204"/>
      </rPr>
      <t>створка, 2 опорных столба, петли  Locinox GAM12, ответная планка, угол открывания 130 град</t>
    </r>
  </si>
  <si>
    <t>Ворота Medium</t>
  </si>
  <si>
    <t xml:space="preserve">Карта Medium
(без ребер жесткости) </t>
  </si>
  <si>
    <t xml:space="preserve">Комплект ворот и калитки
Эконом </t>
  </si>
  <si>
    <r>
      <rPr>
        <b/>
        <sz val="16"/>
        <rFont val="Arial Cyr"/>
        <charset val="204"/>
      </rPr>
      <t xml:space="preserve">Ворота: </t>
    </r>
    <r>
      <rPr>
        <sz val="16"/>
        <rFont val="Arial Cyr"/>
        <charset val="204"/>
      </rPr>
      <t xml:space="preserve">2 створки, 2 опорных столба, петли  Locinox GAM12, угол открывания 130 град, притворная планка, ригель
</t>
    </r>
    <r>
      <rPr>
        <b/>
        <sz val="16"/>
        <rFont val="Arial Cyr"/>
        <charset val="204"/>
      </rPr>
      <t xml:space="preserve">Калитка: </t>
    </r>
    <r>
      <rPr>
        <sz val="16"/>
        <rFont val="Arial Cyr"/>
        <charset val="204"/>
      </rPr>
      <t>1</t>
    </r>
    <r>
      <rPr>
        <b/>
        <sz val="16"/>
        <rFont val="Arial Cyr"/>
        <charset val="204"/>
      </rPr>
      <t xml:space="preserve"> </t>
    </r>
    <r>
      <rPr>
        <sz val="16"/>
        <rFont val="Arial Cyr"/>
        <charset val="204"/>
      </rPr>
      <t xml:space="preserve">створка, 2 опорных столба, петли  Locinox GAM12, притворная планка, угол открывания 130 град
</t>
    </r>
    <r>
      <rPr>
        <sz val="16"/>
        <color rgb="FFFF0000"/>
        <rFont val="Arial Cyr"/>
        <charset val="204"/>
      </rPr>
      <t>В комплект поставки ворот и калиток Эконом заполнение не входит. Заполенение приобретается отдельно.</t>
    </r>
  </si>
  <si>
    <t>Комплект ворот и калитки 
Medium Lock (с замком)</t>
  </si>
  <si>
    <r>
      <t xml:space="preserve">Калитка Эконом
</t>
    </r>
    <r>
      <rPr>
        <b/>
        <sz val="16"/>
        <color rgb="FFFF0000"/>
        <rFont val="Arial"/>
        <family val="2"/>
        <charset val="204"/>
      </rPr>
      <t>(без заполнения)</t>
    </r>
  </si>
  <si>
    <r>
      <rPr>
        <b/>
        <sz val="16"/>
        <rFont val="Arial Cyr"/>
        <charset val="204"/>
      </rPr>
      <t xml:space="preserve">Ворота: </t>
    </r>
    <r>
      <rPr>
        <sz val="16"/>
        <rFont val="Arial Cyr"/>
        <charset val="204"/>
      </rPr>
      <t xml:space="preserve">2 створки, 2 опорных столба, петли Locinox GAM12, угол открывания 130 град, замок Locinox LTKZ, ригель, ответная планка
</t>
    </r>
    <r>
      <rPr>
        <b/>
        <sz val="16"/>
        <rFont val="Arial Cyr"/>
        <charset val="204"/>
      </rPr>
      <t>Калитка:</t>
    </r>
    <r>
      <rPr>
        <sz val="16"/>
        <rFont val="Arial Cyr"/>
        <charset val="204"/>
      </rPr>
      <t xml:space="preserve"> 1 створка, 2 опорных столба, петли Locinox GAM12, угол открывания 130 град, замок Locinox LTKZ, ответная планка</t>
    </r>
  </si>
  <si>
    <r>
      <t xml:space="preserve">Ворота Эконом
</t>
    </r>
    <r>
      <rPr>
        <b/>
        <sz val="16"/>
        <color rgb="FFFF0000"/>
        <rFont val="Arial"/>
        <family val="2"/>
        <charset val="204"/>
      </rPr>
      <t>(без заполнения)</t>
    </r>
  </si>
  <si>
    <t>Комплект ворот и калитки 
Временного ограждения</t>
  </si>
  <si>
    <r>
      <rPr>
        <b/>
        <sz val="16"/>
        <rFont val="Arial Cyr"/>
        <charset val="204"/>
      </rPr>
      <t>Ворота:</t>
    </r>
    <r>
      <rPr>
        <sz val="16"/>
        <rFont val="Arial Cyr"/>
        <charset val="204"/>
      </rPr>
      <t xml:space="preserve"> 2 створки, 4 петли Locinox GBM12-150, 2 опорных ролика, 1 фиксатор створки
</t>
    </r>
    <r>
      <rPr>
        <b/>
        <sz val="16"/>
        <rFont val="Arial Cyr"/>
        <charset val="204"/>
      </rPr>
      <t>Калитка:</t>
    </r>
    <r>
      <rPr>
        <sz val="16"/>
        <rFont val="Arial Cyr"/>
        <charset val="204"/>
      </rPr>
      <t xml:space="preserve"> 1 створка, 2 петли Locinox GBM12-150, 1 фиксатор створки</t>
    </r>
  </si>
  <si>
    <t>Калитка 
Временного ограждения</t>
  </si>
  <si>
    <t>Ворота 
Временного ограждения</t>
  </si>
  <si>
    <t>Все цены с НДС на складе завода Grand Line® (71 км от МКАД по Киевскому шоссе, Ворсино).</t>
  </si>
  <si>
    <t>Возможно производство калиток и ворот Protect (цена = стоимость калиток и ворот Profi + наценка 15%)</t>
  </si>
  <si>
    <r>
      <rPr>
        <vertAlign val="superscript"/>
        <sz val="16"/>
        <rFont val="Arial"/>
        <family val="2"/>
        <charset val="204"/>
      </rPr>
      <t xml:space="preserve">1 </t>
    </r>
    <r>
      <rPr>
        <sz val="16"/>
        <rFont val="Arial"/>
        <family val="2"/>
        <charset val="204"/>
      </rPr>
      <t>Возможно производство калиток и  ворот Bastion (цена = стоимость калиток и ворот Profi + наценка 10%)</t>
    </r>
  </si>
  <si>
    <t>Cтандартные цвета по RAL: 1014, 1021, 3005, 3020, 5005, 6005, 7040, 8017, 9005, 9016.</t>
  </si>
  <si>
    <t>Доступные на складе размеры и цвета ворот и калиток Bastion и Protect уточняйте у менеджера</t>
  </si>
  <si>
    <t>№ 1,2,3</t>
  </si>
  <si>
    <t>№1,2</t>
  </si>
  <si>
    <t>№ 1,2</t>
  </si>
  <si>
    <t>№ 2</t>
  </si>
  <si>
    <t>№ 1,2,3,4</t>
  </si>
  <si>
    <t>№ 1,2,4</t>
  </si>
  <si>
    <t>№ 1</t>
  </si>
  <si>
    <t>№ 3</t>
  </si>
  <si>
    <t>№ 2,3</t>
  </si>
  <si>
    <t>№ 2,4,5</t>
  </si>
  <si>
    <t>№ 2,3,4</t>
  </si>
  <si>
    <t>№ 2,5</t>
  </si>
  <si>
    <t>Декоративное полотно изготавливается под заказа в 2-х цветах: RAL 3005, RAL 6005</t>
  </si>
  <si>
    <r>
      <rPr>
        <b/>
        <u/>
        <sz val="16"/>
        <color theme="1" tint="0.249977111117893"/>
        <rFont val="Arial"/>
        <family val="2"/>
        <charset val="204"/>
      </rPr>
      <t>Остальные цвета по запросу:</t>
    </r>
    <r>
      <rPr>
        <b/>
        <sz val="16"/>
        <color theme="1" tint="0.249977111117893"/>
        <rFont val="Arial"/>
        <family val="2"/>
        <charset val="204"/>
      </rPr>
      <t xml:space="preserve"> согласно RAL с наценкой  10%, в количестве не менее 1250 погонных метров</t>
    </r>
  </si>
  <si>
    <t xml:space="preserve">поддерживается на складе в полимерном покрытии: </t>
  </si>
  <si>
    <t xml:space="preserve">* - зеленый RAL 6005 </t>
  </si>
  <si>
    <t>** - зеленый RAL 6005, серый RAL 7040</t>
  </si>
  <si>
    <t>*** - зеленый RAL 6005 , чёрный RAL 9005</t>
  </si>
  <si>
    <t>**** - зеленый RAL 6005, коричневый RAL 8017</t>
  </si>
  <si>
    <t>Комплект ворот и калиток 
Profi, Премиум, Премиум плюс</t>
  </si>
  <si>
    <r>
      <rPr>
        <b/>
        <sz val="16"/>
        <rFont val="Arial"/>
        <family val="2"/>
        <charset val="204"/>
      </rPr>
      <t xml:space="preserve">Ворота: </t>
    </r>
    <r>
      <rPr>
        <sz val="16"/>
        <rFont val="Arial"/>
        <family val="2"/>
        <charset val="204"/>
      </rPr>
      <t>2 створки, 2 столба, регулируемые петли (угол открывания 180</t>
    </r>
    <r>
      <rPr>
        <sz val="16"/>
        <rFont val="Open Sans"/>
        <family val="2"/>
        <charset val="204"/>
      </rPr>
      <t xml:space="preserve">°), </t>
    </r>
    <r>
      <rPr>
        <sz val="16"/>
        <rFont val="Arial"/>
        <family val="2"/>
        <charset val="204"/>
      </rPr>
      <t>замок Locinox, ответная планка, 2 ригеля Locinox</t>
    </r>
    <r>
      <rPr>
        <b/>
        <sz val="16"/>
        <rFont val="Arial"/>
        <family val="2"/>
        <charset val="204"/>
      </rPr>
      <t xml:space="preserve">
Калитка: </t>
    </r>
    <r>
      <rPr>
        <sz val="16"/>
        <rFont val="Arial"/>
        <family val="2"/>
        <charset val="204"/>
      </rPr>
      <t>1</t>
    </r>
    <r>
      <rPr>
        <b/>
        <sz val="16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>створка, 2 столба, регулируемые петли (угол открывания 180</t>
    </r>
    <r>
      <rPr>
        <sz val="16"/>
        <rFont val="Open Sans"/>
        <family val="2"/>
        <charset val="204"/>
      </rPr>
      <t xml:space="preserve">°), </t>
    </r>
    <r>
      <rPr>
        <sz val="16"/>
        <rFont val="Arial"/>
        <family val="2"/>
        <charset val="204"/>
      </rPr>
      <t>ответная планка, замок Locinox</t>
    </r>
  </si>
  <si>
    <t>Ширина ворот</t>
  </si>
  <si>
    <t>3,0 - 5,0м</t>
  </si>
  <si>
    <t>5,0 - 9,0м</t>
  </si>
  <si>
    <t>Дополнительные комплектующие для автоматизации</t>
  </si>
  <si>
    <t xml:space="preserve">Комплект для автоматизации распашных ворот </t>
  </si>
  <si>
    <r>
      <t xml:space="preserve">Засов в сборе: </t>
    </r>
    <r>
      <rPr>
        <sz val="16"/>
        <color theme="1" tint="0.249977111117893"/>
        <rFont val="Arial"/>
        <family val="2"/>
        <charset val="204"/>
      </rPr>
      <t xml:space="preserve">основной кронштейн, ответная скоба, ось – ригель 20 мм, ручка
</t>
    </r>
    <r>
      <rPr>
        <sz val="16"/>
        <rFont val="Arial"/>
        <family val="2"/>
        <charset val="204"/>
      </rPr>
      <t>Саморезы 5,5х19 – 8 шт</t>
    </r>
  </si>
  <si>
    <t>Кронштейн для 
датчика ДПМГ</t>
  </si>
  <si>
    <r>
      <t xml:space="preserve">Ригель для ворот
Medium NEW (60x40), Эконом
</t>
    </r>
    <r>
      <rPr>
        <b/>
        <sz val="16"/>
        <color theme="1" tint="0.249977111117893"/>
        <rFont val="Arial Cyr"/>
        <charset val="204"/>
      </rPr>
      <t>(</t>
    </r>
    <r>
      <rPr>
        <b/>
        <u/>
        <sz val="16"/>
        <color theme="1" tint="0.249977111117893"/>
        <rFont val="Arial Cyr"/>
        <charset val="204"/>
      </rPr>
      <t>не</t>
    </r>
    <r>
      <rPr>
        <b/>
        <sz val="16"/>
        <color theme="1" tint="0.249977111117893"/>
        <rFont val="Arial Cyr"/>
        <charset val="204"/>
      </rPr>
      <t xml:space="preserve"> подходит для ворот из круглой трубы 51 мм)</t>
    </r>
  </si>
  <si>
    <t>зеленый RAL 6005
серый RAL 7040
черный RAL 9005</t>
  </si>
  <si>
    <t>Ригель в сборе - 1 шт
Саморезы 5,5х19 - 6 шт</t>
  </si>
  <si>
    <t>Лампа сигнальная 12v ELB</t>
  </si>
  <si>
    <t>1,09 (треуг)
1,28 (прям)</t>
  </si>
  <si>
    <t>Все цены указаны с НДС на складе завода  (71 км от МКАД по Киевскому шоссе, Ворсино)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</si>
</sst>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р_._-;\-* #,##0.00_р_._-;_-* &quot;-&quot;??_р_._-;_-@_-"/>
    <numFmt numFmtId="165" formatCode="0.000"/>
    <numFmt numFmtId="166" formatCode="0.0"/>
    <numFmt numFmtId="167" formatCode="_([$€]* #,##0.00_);_([$€]* \(#,##0.00\);_([$€]* &quot;-&quot;??_);_(@_)"/>
    <numFmt numFmtId="168" formatCode="#,##0.00_р_."/>
    <numFmt numFmtId="169" formatCode="#,##0_р_."/>
    <numFmt numFmtId="170" formatCode="_(* #,##0.00_);_(* \(#,##0.00\);_(* &quot;-&quot;??_);_(@_)"/>
    <numFmt numFmtId="171" formatCode="_([$€]* #,##0.00_);_([$€]* \(#,##0.00\);_([$€]* \-??_);_(@_)"/>
    <numFmt numFmtId="172" formatCode="_(\$* #,##0.00_);_(\$* \(#,##0.00\);_(\$* \-??_);_(@_)"/>
    <numFmt numFmtId="173" formatCode="_-* #,##0.00_р_._-;\-* #,##0.00_р_._-;_-* \-??_р_._-;_-@_-"/>
  </numFmts>
  <fonts count="113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177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6"/>
      <color indexed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b/>
      <sz val="20"/>
      <name val="Arial Cyr"/>
      <charset val="204"/>
    </font>
    <font>
      <sz val="14"/>
      <name val="Arial Cyr"/>
      <charset val="204"/>
    </font>
    <font>
      <b/>
      <sz val="16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sz val="10"/>
      <name val="Arial"/>
      <family val="2"/>
      <charset val="204"/>
    </font>
    <font>
      <b/>
      <sz val="20"/>
      <color indexed="10"/>
      <name val="Arial"/>
      <family val="2"/>
      <charset val="204"/>
    </font>
    <font>
      <sz val="22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Arial"/>
      <family val="2"/>
      <charset val="204"/>
    </font>
    <font>
      <b/>
      <sz val="20"/>
      <name val="Arial"/>
      <family val="2"/>
      <charset val="204"/>
    </font>
    <font>
      <sz val="26"/>
      <name val="Arial"/>
      <family val="2"/>
      <charset val="204"/>
    </font>
    <font>
      <b/>
      <sz val="26"/>
      <name val="Arial"/>
      <family val="2"/>
      <charset val="204"/>
    </font>
    <font>
      <b/>
      <sz val="36"/>
      <color indexed="10"/>
      <name val="Arial"/>
      <family val="2"/>
      <charset val="204"/>
    </font>
    <font>
      <sz val="36"/>
      <name val="Arial"/>
      <family val="2"/>
      <charset val="204"/>
    </font>
    <font>
      <sz val="24"/>
      <name val="Arial"/>
      <family val="2"/>
      <charset val="204"/>
    </font>
    <font>
      <b/>
      <sz val="36"/>
      <name val="Arial"/>
      <family val="2"/>
      <charset val="204"/>
    </font>
    <font>
      <b/>
      <sz val="24"/>
      <name val="Arial"/>
      <family val="2"/>
      <charset val="204"/>
    </font>
    <font>
      <sz val="24"/>
      <name val="Arial Cyr"/>
      <charset val="204"/>
    </font>
    <font>
      <sz val="12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48"/>
      <name val="Arial"/>
      <family val="2"/>
      <charset val="204"/>
    </font>
    <font>
      <sz val="10"/>
      <name val="Arial"/>
      <family val="2"/>
      <charset val="204"/>
    </font>
    <font>
      <sz val="16"/>
      <color indexed="10"/>
      <name val="Arial"/>
      <family val="2"/>
      <charset val="204"/>
    </font>
    <font>
      <sz val="20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6"/>
      <color indexed="8"/>
      <name val="Arial"/>
      <family val="2"/>
      <charset val="204"/>
    </font>
    <font>
      <sz val="10"/>
      <color indexed="8"/>
      <name val="Arial Cyr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vertAlign val="superscript"/>
      <sz val="20"/>
      <color indexed="10"/>
      <name val="Arial"/>
      <family val="2"/>
      <charset val="204"/>
    </font>
    <font>
      <sz val="8"/>
      <name val="Arial"/>
      <family val="2"/>
      <charset val="204"/>
    </font>
    <font>
      <b/>
      <sz val="18"/>
      <color indexed="8"/>
      <name val="Arial"/>
      <family val="2"/>
      <charset val="204"/>
    </font>
    <font>
      <sz val="16"/>
      <name val="Arial Cyr"/>
      <charset val="204"/>
    </font>
    <font>
      <sz val="18"/>
      <name val="Arial Cyr"/>
      <charset val="204"/>
    </font>
    <font>
      <sz val="18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4"/>
      <name val="Arial"/>
      <family val="2"/>
      <charset val="204"/>
    </font>
    <font>
      <b/>
      <u/>
      <sz val="16"/>
      <name val="Arial"/>
      <family val="2"/>
      <charset val="204"/>
    </font>
    <font>
      <b/>
      <vertAlign val="superscript"/>
      <sz val="16"/>
      <name val="Arial"/>
      <family val="2"/>
      <charset val="204"/>
    </font>
    <font>
      <b/>
      <u/>
      <sz val="16"/>
      <color indexed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36"/>
      <color theme="1"/>
      <name val="Arial"/>
      <family val="2"/>
      <charset val="204"/>
    </font>
    <font>
      <u/>
      <sz val="16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1" tint="0.249977111117893"/>
      <name val="Arial"/>
      <family val="2"/>
      <charset val="204"/>
    </font>
    <font>
      <b/>
      <sz val="20"/>
      <color theme="1"/>
      <name val="Arial"/>
      <family val="2"/>
      <charset val="204"/>
    </font>
    <font>
      <sz val="14"/>
      <name val="Arial"/>
      <family val="2"/>
      <charset val="204"/>
    </font>
    <font>
      <sz val="14"/>
      <color indexed="8"/>
      <name val="Arial"/>
      <family val="2"/>
      <charset val="204"/>
    </font>
    <font>
      <b/>
      <sz val="16"/>
      <color theme="0"/>
      <name val="Arial"/>
      <family val="2"/>
      <charset val="204"/>
    </font>
    <font>
      <b/>
      <u/>
      <sz val="16"/>
      <color theme="1" tint="0.249977111117893"/>
      <name val="Arial"/>
      <family val="2"/>
      <charset val="204"/>
    </font>
    <font>
      <b/>
      <vertAlign val="superscript"/>
      <sz val="20"/>
      <color indexed="10"/>
      <name val="Calibri"/>
      <family val="2"/>
      <charset val="204"/>
    </font>
    <font>
      <b/>
      <sz val="14"/>
      <color indexed="10"/>
      <name val="Arial"/>
      <family val="2"/>
      <charset val="204"/>
    </font>
    <font>
      <sz val="16"/>
      <color theme="1" tint="0.14999847407452621"/>
      <name val="Arial"/>
      <family val="2"/>
      <charset val="204"/>
    </font>
    <font>
      <sz val="14"/>
      <color theme="1" tint="0.14999847407452621"/>
      <name val="Arial"/>
      <family val="2"/>
      <charset val="204"/>
    </font>
    <font>
      <b/>
      <sz val="14"/>
      <color theme="1" tint="0.249977111117893"/>
      <name val="Arial"/>
      <family val="2"/>
      <charset val="204"/>
    </font>
    <font>
      <b/>
      <u/>
      <sz val="14"/>
      <color theme="1" tint="0.249977111117893"/>
      <name val="Arial"/>
      <family val="2"/>
      <charset val="204"/>
    </font>
    <font>
      <sz val="16"/>
      <color rgb="FFFF0000"/>
      <name val="Arial"/>
      <family val="2"/>
      <charset val="204"/>
    </font>
    <font>
      <i/>
      <sz val="16"/>
      <name val="Arial"/>
      <family val="2"/>
      <charset val="204"/>
    </font>
    <font>
      <i/>
      <u/>
      <sz val="16"/>
      <name val="Arial"/>
      <family val="2"/>
      <charset val="204"/>
    </font>
    <font>
      <u/>
      <sz val="10"/>
      <color theme="10"/>
      <name val="Arial Cyr"/>
      <charset val="204"/>
    </font>
    <font>
      <vertAlign val="superscript"/>
      <sz val="16"/>
      <color indexed="8"/>
      <name val="Arial"/>
      <family val="2"/>
      <charset val="204"/>
    </font>
    <font>
      <b/>
      <u/>
      <sz val="16"/>
      <color rgb="FFFF0000"/>
      <name val="Arial"/>
      <family val="2"/>
      <charset val="204"/>
    </font>
    <font>
      <b/>
      <sz val="15"/>
      <name val="Arial"/>
      <family val="2"/>
      <charset val="204"/>
    </font>
    <font>
      <sz val="15"/>
      <name val="Arial"/>
      <family val="2"/>
      <charset val="204"/>
    </font>
    <font>
      <b/>
      <sz val="15"/>
      <color indexed="10"/>
      <name val="Arial"/>
      <family val="2"/>
      <charset val="204"/>
    </font>
    <font>
      <b/>
      <sz val="15"/>
      <color indexed="8"/>
      <name val="Arial"/>
      <family val="2"/>
      <charset val="204"/>
    </font>
    <font>
      <b/>
      <vertAlign val="superscript"/>
      <sz val="20"/>
      <color indexed="10"/>
      <name val="Arial Cyr"/>
      <charset val="204"/>
    </font>
    <font>
      <vertAlign val="superscript"/>
      <sz val="16"/>
      <name val="Arial"/>
      <family val="2"/>
      <charset val="204"/>
    </font>
    <font>
      <b/>
      <sz val="16"/>
      <color indexed="10"/>
      <name val="Arial Cyr"/>
      <charset val="204"/>
    </font>
    <font>
      <sz val="16"/>
      <color theme="1" tint="0.249977111117893"/>
      <name val="Arial"/>
      <family val="2"/>
      <charset val="204"/>
    </font>
    <font>
      <b/>
      <sz val="16"/>
      <name val="Arial Cyr"/>
      <charset val="204"/>
    </font>
    <font>
      <sz val="16"/>
      <color indexed="8"/>
      <name val="Arial Cyr"/>
      <charset val="204"/>
    </font>
    <font>
      <sz val="16"/>
      <color rgb="FFFF0000"/>
      <name val="Arial Cyr"/>
      <charset val="204"/>
    </font>
    <font>
      <sz val="48"/>
      <name val="Arial"/>
      <family val="2"/>
      <charset val="204"/>
    </font>
    <font>
      <sz val="16"/>
      <name val="Open Sans"/>
      <family val="2"/>
      <charset val="204"/>
    </font>
    <font>
      <b/>
      <sz val="16"/>
      <color theme="1" tint="0.249977111117893"/>
      <name val="Arial Cyr"/>
      <charset val="204"/>
    </font>
    <font>
      <b/>
      <u/>
      <sz val="16"/>
      <color theme="1" tint="0.249977111117893"/>
      <name val="Arial Cyr"/>
      <charset val="204"/>
    </font>
    <font>
      <b/>
      <sz val="26"/>
      <color rgb="FF92D050"/>
      <name val="Arial"/>
      <family val="2"/>
      <charset val="204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7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00000"/>
        <bgColor indexed="64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theme="1" tint="0.249977111117893"/>
      </left>
      <right/>
      <top style="medium">
        <color theme="1" tint="0.249977111117893"/>
      </top>
      <bottom style="medium">
        <color theme="1" tint="0.249977111117893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/>
      <top/>
      <bottom style="medium">
        <color theme="1" tint="0.249977111117893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</borders>
  <cellStyleXfs count="412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167" fontId="7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4" fillId="0" borderId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2" fontId="7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8" fillId="13" borderId="1" applyNumberFormat="0" applyAlignment="0" applyProtection="0"/>
    <xf numFmtId="0" fontId="8" fillId="13" borderId="1" applyNumberFormat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9" fillId="39" borderId="2" applyNumberFormat="0" applyAlignment="0" applyProtection="0"/>
    <xf numFmtId="0" fontId="9" fillId="39" borderId="2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10" fillId="39" borderId="1" applyNumberFormat="0" applyAlignment="0" applyProtection="0"/>
    <xf numFmtId="0" fontId="10" fillId="39" borderId="1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5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2" fontId="4" fillId="0" borderId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3" fillId="0" borderId="0" applyNumberFormat="0" applyFill="0" applyBorder="0" applyProtection="0">
      <alignment horizontal="left"/>
    </xf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63" fillId="0" borderId="0" applyNumberFormat="0" applyFill="0" applyBorder="0" applyProtection="0">
      <alignment horizontal="left"/>
    </xf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1" borderId="7" applyNumberFormat="0" applyAlignment="0" applyProtection="0"/>
    <xf numFmtId="0" fontId="16" fillId="41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0" borderId="0"/>
    <xf numFmtId="0" fontId="1" fillId="0" borderId="0"/>
    <xf numFmtId="0" fontId="75" fillId="0" borderId="0"/>
    <xf numFmtId="0" fontId="56" fillId="0" borderId="0"/>
    <xf numFmtId="0" fontId="11" fillId="0" borderId="0"/>
    <xf numFmtId="0" fontId="75" fillId="0" borderId="0"/>
    <xf numFmtId="0" fontId="75" fillId="0" borderId="0"/>
    <xf numFmtId="0" fontId="75" fillId="0" borderId="0"/>
    <xf numFmtId="0" fontId="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1" fillId="0" borderId="0"/>
    <xf numFmtId="0" fontId="56" fillId="0" borderId="0"/>
    <xf numFmtId="0" fontId="4" fillId="0" borderId="0"/>
    <xf numFmtId="0" fontId="56" fillId="0" borderId="0"/>
    <xf numFmtId="0" fontId="11" fillId="0" borderId="0"/>
    <xf numFmtId="0" fontId="1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4" fillId="0" borderId="0"/>
    <xf numFmtId="0" fontId="63" fillId="0" borderId="0"/>
    <xf numFmtId="0" fontId="75" fillId="0" borderId="0"/>
    <xf numFmtId="0" fontId="11" fillId="0" borderId="0"/>
    <xf numFmtId="0" fontId="56" fillId="0" borderId="0"/>
    <xf numFmtId="0" fontId="56" fillId="0" borderId="0"/>
    <xf numFmtId="0" fontId="11" fillId="0" borderId="0"/>
    <xf numFmtId="0" fontId="1" fillId="0" borderId="0"/>
    <xf numFmtId="0" fontId="4" fillId="0" borderId="0"/>
    <xf numFmtId="0" fontId="75" fillId="0" borderId="0"/>
    <xf numFmtId="0" fontId="4" fillId="0" borderId="0"/>
    <xf numFmtId="0" fontId="1" fillId="0" borderId="0"/>
    <xf numFmtId="0" fontId="56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38" fillId="0" borderId="0"/>
    <xf numFmtId="0" fontId="1" fillId="0" borderId="0"/>
    <xf numFmtId="0" fontId="11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0" fontId="4" fillId="45" borderId="8" applyNumberFormat="0" applyAlignment="0" applyProtection="0"/>
    <xf numFmtId="0" fontId="4" fillId="45" borderId="8" applyNumberFormat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94" fillId="0" borderId="0" applyNumberFormat="0" applyFill="0" applyBorder="0" applyAlignment="0" applyProtection="0"/>
  </cellStyleXfs>
  <cellXfs count="1523">
    <xf numFmtId="0" fontId="0" fillId="0" borderId="0" xfId="0"/>
    <xf numFmtId="0" fontId="11" fillId="0" borderId="0" xfId="0" applyFont="1"/>
    <xf numFmtId="0" fontId="11" fillId="0" borderId="0" xfId="0" applyFont="1" applyAlignment="1"/>
    <xf numFmtId="0" fontId="27" fillId="0" borderId="0" xfId="0" applyFont="1"/>
    <xf numFmtId="0" fontId="27" fillId="0" borderId="0" xfId="0" applyFont="1" applyBorder="1"/>
    <xf numFmtId="0" fontId="27" fillId="0" borderId="0" xfId="0" applyFont="1" applyBorder="1" applyAlignment="1"/>
    <xf numFmtId="0" fontId="11" fillId="0" borderId="0" xfId="0" applyFont="1" applyAlignment="1">
      <alignment horizontal="center" vertical="center"/>
    </xf>
    <xf numFmtId="0" fontId="27" fillId="0" borderId="0" xfId="0" applyFont="1" applyAlignment="1"/>
    <xf numFmtId="0" fontId="32" fillId="0" borderId="0" xfId="0" applyFont="1"/>
    <xf numFmtId="0" fontId="30" fillId="0" borderId="0" xfId="0" applyFont="1"/>
    <xf numFmtId="0" fontId="30" fillId="0" borderId="11" xfId="0" applyFont="1" applyBorder="1" applyAlignment="1" applyProtection="1">
      <alignment horizontal="center" vertical="center" wrapText="1"/>
      <protection hidden="1"/>
    </xf>
    <xf numFmtId="0" fontId="30" fillId="0" borderId="12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/>
      <protection hidden="1"/>
    </xf>
    <xf numFmtId="2" fontId="30" fillId="0" borderId="11" xfId="0" applyNumberFormat="1" applyFont="1" applyBorder="1" applyAlignment="1" applyProtection="1">
      <alignment horizontal="center" vertical="center"/>
      <protection hidden="1"/>
    </xf>
    <xf numFmtId="2" fontId="30" fillId="0" borderId="12" xfId="0" applyNumberFormat="1" applyFont="1" applyBorder="1" applyAlignment="1" applyProtection="1">
      <alignment horizontal="center" vertical="center"/>
      <protection hidden="1"/>
    </xf>
    <xf numFmtId="2" fontId="30" fillId="0" borderId="13" xfId="0" applyNumberFormat="1" applyFont="1" applyBorder="1" applyAlignment="1" applyProtection="1">
      <alignment horizontal="center" vertical="center"/>
      <protection hidden="1"/>
    </xf>
    <xf numFmtId="0" fontId="30" fillId="0" borderId="13" xfId="0" applyFont="1" applyBorder="1" applyAlignment="1" applyProtection="1">
      <alignment horizontal="center" vertical="center" wrapText="1"/>
      <protection hidden="1"/>
    </xf>
    <xf numFmtId="0" fontId="30" fillId="46" borderId="10" xfId="0" applyFont="1" applyFill="1" applyBorder="1" applyAlignment="1" applyProtection="1">
      <alignment horizontal="center" vertical="center" wrapText="1"/>
      <protection hidden="1"/>
    </xf>
    <xf numFmtId="165" fontId="30" fillId="0" borderId="10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Border="1" applyAlignment="1" applyProtection="1">
      <alignment horizontal="center" vertical="center"/>
      <protection hidden="1"/>
    </xf>
    <xf numFmtId="0" fontId="30" fillId="0" borderId="11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2" fontId="30" fillId="0" borderId="14" xfId="0" applyNumberFormat="1" applyFont="1" applyBorder="1" applyAlignment="1">
      <alignment horizontal="center" vertical="center" wrapText="1"/>
    </xf>
    <xf numFmtId="2" fontId="30" fillId="0" borderId="10" xfId="0" applyNumberFormat="1" applyFont="1" applyFill="1" applyBorder="1" applyAlignment="1">
      <alignment vertical="center" wrapText="1"/>
    </xf>
    <xf numFmtId="0" fontId="30" fillId="0" borderId="0" xfId="357" applyFont="1" applyAlignment="1">
      <alignment vertical="center"/>
    </xf>
    <xf numFmtId="0" fontId="30" fillId="0" borderId="0" xfId="357" applyFont="1" applyAlignment="1">
      <alignment vertical="center" wrapText="1"/>
    </xf>
    <xf numFmtId="0" fontId="29" fillId="0" borderId="0" xfId="357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Border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47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47" borderId="1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Alignment="1">
      <alignment vertical="center" wrapText="1"/>
    </xf>
    <xf numFmtId="0" fontId="29" fillId="0" borderId="0" xfId="0" applyFont="1" applyBorder="1" applyAlignment="1" applyProtection="1">
      <alignment horizontal="left" vertical="center"/>
      <protection hidden="1"/>
    </xf>
    <xf numFmtId="0" fontId="28" fillId="0" borderId="0" xfId="356" applyFont="1" applyBorder="1" applyAlignment="1" applyProtection="1">
      <alignment vertical="top"/>
      <protection hidden="1"/>
    </xf>
    <xf numFmtId="0" fontId="29" fillId="0" borderId="0" xfId="356" applyFont="1" applyBorder="1" applyAlignment="1"/>
    <xf numFmtId="0" fontId="30" fillId="0" borderId="10" xfId="0" applyFont="1" applyFill="1" applyBorder="1" applyAlignment="1" applyProtection="1">
      <alignment vertical="center"/>
      <protection hidden="1"/>
    </xf>
    <xf numFmtId="2" fontId="29" fillId="0" borderId="11" xfId="0" applyNumberFormat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/>
    </xf>
    <xf numFmtId="0" fontId="29" fillId="0" borderId="0" xfId="0" applyFont="1" applyBorder="1" applyAlignment="1" applyProtection="1">
      <alignment horizontal="left" vertical="top"/>
      <protection hidden="1"/>
    </xf>
    <xf numFmtId="0" fontId="37" fillId="0" borderId="0" xfId="0" applyFont="1"/>
    <xf numFmtId="2" fontId="30" fillId="0" borderId="15" xfId="0" applyNumberFormat="1" applyFont="1" applyFill="1" applyBorder="1" applyAlignment="1">
      <alignment vertical="center" wrapText="1"/>
    </xf>
    <xf numFmtId="0" fontId="45" fillId="0" borderId="0" xfId="0" applyFont="1"/>
    <xf numFmtId="0" fontId="45" fillId="0" borderId="0" xfId="0" applyFont="1" applyBorder="1" applyAlignment="1" applyProtection="1">
      <alignment vertical="center"/>
      <protection hidden="1"/>
    </xf>
    <xf numFmtId="0" fontId="45" fillId="0" borderId="0" xfId="0" applyFont="1" applyAlignment="1">
      <alignment vertical="center"/>
    </xf>
    <xf numFmtId="0" fontId="45" fillId="0" borderId="0" xfId="357" applyFont="1" applyAlignment="1">
      <alignment vertical="center"/>
    </xf>
    <xf numFmtId="0" fontId="1" fillId="0" borderId="0" xfId="334"/>
    <xf numFmtId="0" fontId="39" fillId="0" borderId="0" xfId="334" applyFont="1"/>
    <xf numFmtId="0" fontId="49" fillId="0" borderId="0" xfId="355" applyFont="1" applyAlignment="1">
      <alignment vertical="center"/>
    </xf>
    <xf numFmtId="0" fontId="49" fillId="0" borderId="0" xfId="334" applyFont="1" applyBorder="1"/>
    <xf numFmtId="0" fontId="36" fillId="0" borderId="0" xfId="356" applyFont="1" applyBorder="1" applyAlignment="1" applyProtection="1">
      <alignment vertical="top"/>
      <protection hidden="1"/>
    </xf>
    <xf numFmtId="0" fontId="29" fillId="0" borderId="0" xfId="334" applyFont="1" applyBorder="1" applyAlignment="1" applyProtection="1">
      <alignment horizontal="center" vertical="center" wrapText="1"/>
      <protection hidden="1"/>
    </xf>
    <xf numFmtId="166" fontId="30" fillId="0" borderId="0" xfId="334" applyNumberFormat="1" applyFont="1" applyBorder="1" applyAlignment="1" applyProtection="1">
      <alignment horizontal="center" vertical="center"/>
      <protection hidden="1"/>
    </xf>
    <xf numFmtId="0" fontId="30" fillId="0" borderId="0" xfId="334" applyFont="1" applyBorder="1" applyAlignment="1" applyProtection="1">
      <alignment horizontal="center" vertical="center"/>
      <protection hidden="1"/>
    </xf>
    <xf numFmtId="4" fontId="30" fillId="0" borderId="0" xfId="334" applyNumberFormat="1" applyFont="1" applyFill="1" applyBorder="1" applyAlignment="1" applyProtection="1">
      <alignment horizontal="center" vertical="center"/>
      <protection hidden="1"/>
    </xf>
    <xf numFmtId="168" fontId="29" fillId="0" borderId="0" xfId="334" applyNumberFormat="1" applyFont="1" applyBorder="1" applyAlignment="1" applyProtection="1">
      <alignment horizontal="center" vertical="center" wrapText="1"/>
      <protection hidden="1"/>
    </xf>
    <xf numFmtId="0" fontId="29" fillId="0" borderId="0" xfId="334" applyFont="1" applyBorder="1" applyAlignment="1" applyProtection="1">
      <alignment vertical="center"/>
      <protection hidden="1"/>
    </xf>
    <xf numFmtId="0" fontId="50" fillId="0" borderId="0" xfId="334" applyFont="1"/>
    <xf numFmtId="0" fontId="29" fillId="0" borderId="0" xfId="330" applyFont="1" applyBorder="1" applyAlignment="1" applyProtection="1">
      <alignment vertical="center"/>
      <protection hidden="1"/>
    </xf>
    <xf numFmtId="0" fontId="50" fillId="0" borderId="0" xfId="334" applyFont="1" applyBorder="1"/>
    <xf numFmtId="0" fontId="29" fillId="0" borderId="0" xfId="0" applyFont="1" applyBorder="1" applyAlignment="1" applyProtection="1">
      <alignment vertical="center" wrapText="1"/>
      <protection hidden="1"/>
    </xf>
    <xf numFmtId="0" fontId="45" fillId="0" borderId="0" xfId="357" applyFont="1" applyBorder="1" applyAlignment="1">
      <alignment vertical="center"/>
    </xf>
    <xf numFmtId="0" fontId="46" fillId="0" borderId="0" xfId="357" applyFont="1" applyFill="1" applyBorder="1" applyAlignment="1">
      <alignment vertical="center" wrapText="1"/>
    </xf>
    <xf numFmtId="9" fontId="41" fillId="0" borderId="10" xfId="373" applyFont="1" applyBorder="1" applyAlignment="1">
      <alignment horizontal="center" vertical="center"/>
    </xf>
    <xf numFmtId="0" fontId="33" fillId="0" borderId="0" xfId="0" applyFont="1" applyBorder="1" applyAlignment="1"/>
    <xf numFmtId="0" fontId="29" fillId="0" borderId="0" xfId="0" applyFont="1" applyBorder="1" applyAlignment="1" applyProtection="1">
      <alignment vertical="center"/>
      <protection hidden="1"/>
    </xf>
    <xf numFmtId="0" fontId="33" fillId="0" borderId="0" xfId="0" applyFont="1" applyBorder="1" applyAlignment="1">
      <alignment vertical="center" wrapText="1"/>
    </xf>
    <xf numFmtId="0" fontId="31" fillId="48" borderId="10" xfId="0" applyFont="1" applyFill="1" applyBorder="1" applyAlignment="1">
      <alignment horizontal="center" vertical="center"/>
    </xf>
    <xf numFmtId="0" fontId="40" fillId="48" borderId="10" xfId="0" applyFont="1" applyFill="1" applyBorder="1" applyAlignment="1">
      <alignment horizontal="center" vertical="center" wrapText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50" fillId="0" borderId="0" xfId="334" applyFont="1" applyAlignment="1"/>
    <xf numFmtId="0" fontId="30" fillId="0" borderId="16" xfId="334" applyFont="1" applyBorder="1" applyAlignment="1" applyProtection="1">
      <alignment vertical="center"/>
      <protection hidden="1"/>
    </xf>
    <xf numFmtId="0" fontId="30" fillId="0" borderId="16" xfId="334" applyFont="1" applyBorder="1" applyAlignment="1" applyProtection="1">
      <alignment horizontal="center" vertical="center"/>
      <protection hidden="1"/>
    </xf>
    <xf numFmtId="0" fontId="29" fillId="0" borderId="0" xfId="330" applyFont="1" applyBorder="1" applyAlignment="1" applyProtection="1">
      <alignment horizontal="center" vertical="center" wrapText="1"/>
      <protection hidden="1"/>
    </xf>
    <xf numFmtId="0" fontId="30" fillId="0" borderId="0" xfId="334" applyFont="1" applyBorder="1" applyAlignment="1" applyProtection="1">
      <alignment horizontal="center" vertical="center" wrapText="1"/>
      <protection hidden="1"/>
    </xf>
    <xf numFmtId="0" fontId="30" fillId="0" borderId="0" xfId="334" applyFont="1" applyBorder="1" applyAlignment="1" applyProtection="1">
      <alignment vertical="center" wrapText="1"/>
      <protection hidden="1"/>
    </xf>
    <xf numFmtId="0" fontId="29" fillId="0" borderId="0" xfId="330" applyFont="1" applyFill="1" applyBorder="1" applyAlignment="1" applyProtection="1">
      <alignment vertical="center" textRotation="90" wrapText="1"/>
      <protection hidden="1"/>
    </xf>
    <xf numFmtId="0" fontId="50" fillId="0" borderId="0" xfId="334" applyFont="1" applyFill="1" applyBorder="1"/>
    <xf numFmtId="0" fontId="30" fillId="0" borderId="0" xfId="334" applyFont="1" applyBorder="1" applyAlignment="1" applyProtection="1">
      <alignment vertical="center"/>
      <protection hidden="1"/>
    </xf>
    <xf numFmtId="0" fontId="34" fillId="0" borderId="0" xfId="334" applyFont="1" applyBorder="1" applyAlignment="1">
      <alignment horizontal="left" wrapText="1"/>
    </xf>
    <xf numFmtId="0" fontId="30" fillId="0" borderId="0" xfId="330" applyFont="1" applyBorder="1" applyAlignment="1" applyProtection="1">
      <alignment horizontal="center" vertical="center" wrapText="1"/>
      <protection hidden="1"/>
    </xf>
    <xf numFmtId="3" fontId="30" fillId="0" borderId="0" xfId="334" applyNumberFormat="1" applyFont="1" applyBorder="1" applyAlignment="1" applyProtection="1">
      <alignment horizontal="center" vertical="center" wrapText="1"/>
      <protection hidden="1"/>
    </xf>
    <xf numFmtId="3" fontId="30" fillId="0" borderId="0" xfId="334" applyNumberFormat="1" applyFont="1" applyFill="1" applyBorder="1" applyAlignment="1" applyProtection="1">
      <alignment horizontal="center" vertical="center"/>
      <protection hidden="1"/>
    </xf>
    <xf numFmtId="0" fontId="29" fillId="0" borderId="18" xfId="334" applyFont="1" applyBorder="1" applyAlignment="1" applyProtection="1">
      <alignment horizontal="center" vertical="center" wrapText="1"/>
      <protection hidden="1"/>
    </xf>
    <xf numFmtId="166" fontId="30" fillId="0" borderId="18" xfId="334" applyNumberFormat="1" applyFont="1" applyBorder="1" applyAlignment="1" applyProtection="1">
      <alignment horizontal="center" vertical="center"/>
      <protection hidden="1"/>
    </xf>
    <xf numFmtId="0" fontId="30" fillId="0" borderId="18" xfId="334" applyFont="1" applyBorder="1" applyAlignment="1" applyProtection="1">
      <alignment horizontal="center" vertical="center"/>
      <protection hidden="1"/>
    </xf>
    <xf numFmtId="4" fontId="30" fillId="0" borderId="18" xfId="334" applyNumberFormat="1" applyFont="1" applyFill="1" applyBorder="1" applyAlignment="1" applyProtection="1">
      <alignment horizontal="center" vertical="center"/>
      <protection hidden="1"/>
    </xf>
    <xf numFmtId="169" fontId="30" fillId="0" borderId="18" xfId="334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vertical="center" wrapText="1"/>
      <protection hidden="1"/>
    </xf>
    <xf numFmtId="1" fontId="30" fillId="0" borderId="10" xfId="0" applyNumberFormat="1" applyFont="1" applyBorder="1" applyAlignment="1" applyProtection="1">
      <alignment horizontal="center" vertical="center"/>
      <protection hidden="1"/>
    </xf>
    <xf numFmtId="166" fontId="30" fillId="0" borderId="12" xfId="0" applyNumberFormat="1" applyFont="1" applyBorder="1" applyAlignment="1" applyProtection="1">
      <alignment horizontal="center" vertical="center"/>
      <protection hidden="1"/>
    </xf>
    <xf numFmtId="166" fontId="30" fillId="0" borderId="13" xfId="0" applyNumberFormat="1" applyFont="1" applyBorder="1" applyAlignment="1" applyProtection="1">
      <alignment horizontal="center" vertical="center"/>
      <protection hidden="1"/>
    </xf>
    <xf numFmtId="1" fontId="30" fillId="0" borderId="12" xfId="0" applyNumberFormat="1" applyFont="1" applyBorder="1" applyAlignment="1" applyProtection="1">
      <alignment horizontal="center" vertical="center"/>
      <protection hidden="1"/>
    </xf>
    <xf numFmtId="166" fontId="30" fillId="0" borderId="11" xfId="0" applyNumberFormat="1" applyFont="1" applyBorder="1" applyAlignment="1" applyProtection="1">
      <alignment horizontal="center" vertical="center"/>
      <protection hidden="1"/>
    </xf>
    <xf numFmtId="14" fontId="37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" fontId="29" fillId="0" borderId="13" xfId="0" applyNumberFormat="1" applyFont="1" applyBorder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/>
    </xf>
    <xf numFmtId="0" fontId="50" fillId="0" borderId="0" xfId="334" applyFont="1" applyAlignment="1">
      <alignment horizontal="center" vertical="center"/>
    </xf>
    <xf numFmtId="1" fontId="53" fillId="0" borderId="0" xfId="0" applyNumberFormat="1" applyFont="1" applyBorder="1" applyAlignment="1" applyProtection="1">
      <alignment vertical="center" wrapText="1"/>
      <protection hidden="1"/>
    </xf>
    <xf numFmtId="3" fontId="30" fillId="0" borderId="0" xfId="0" applyNumberFormat="1" applyFont="1"/>
    <xf numFmtId="166" fontId="54" fillId="0" borderId="0" xfId="0" applyNumberFormat="1" applyFont="1"/>
    <xf numFmtId="14" fontId="30" fillId="0" borderId="16" xfId="0" applyNumberFormat="1" applyFont="1" applyBorder="1" applyAlignment="1"/>
    <xf numFmtId="4" fontId="30" fillId="0" borderId="11" xfId="0" applyNumberFormat="1" applyFont="1" applyBorder="1" applyAlignment="1" applyProtection="1">
      <alignment horizontal="center" vertical="center"/>
      <protection hidden="1"/>
    </xf>
    <xf numFmtId="4" fontId="30" fillId="0" borderId="12" xfId="0" applyNumberFormat="1" applyFont="1" applyBorder="1" applyAlignment="1" applyProtection="1">
      <alignment horizontal="center" vertical="center"/>
      <protection hidden="1"/>
    </xf>
    <xf numFmtId="4" fontId="30" fillId="0" borderId="13" xfId="0" applyNumberFormat="1" applyFont="1" applyBorder="1" applyAlignment="1" applyProtection="1">
      <alignment horizontal="center" vertical="center"/>
      <protection hidden="1"/>
    </xf>
    <xf numFmtId="3" fontId="57" fillId="0" borderId="10" xfId="0" applyNumberFormat="1" applyFont="1" applyFill="1" applyBorder="1" applyAlignment="1" applyProtection="1">
      <alignment horizontal="center" vertical="center"/>
      <protection hidden="1"/>
    </xf>
    <xf numFmtId="3" fontId="57" fillId="0" borderId="10" xfId="0" applyNumberFormat="1" applyFont="1" applyBorder="1" applyAlignment="1" applyProtection="1">
      <alignment horizontal="center" vertical="center"/>
      <protection hidden="1"/>
    </xf>
    <xf numFmtId="1" fontId="57" fillId="0" borderId="11" xfId="0" applyNumberFormat="1" applyFont="1" applyFill="1" applyBorder="1" applyAlignment="1" applyProtection="1">
      <alignment horizontal="center" vertical="center"/>
      <protection hidden="1"/>
    </xf>
    <xf numFmtId="1" fontId="57" fillId="0" borderId="12" xfId="0" applyNumberFormat="1" applyFont="1" applyFill="1" applyBorder="1" applyAlignment="1" applyProtection="1">
      <alignment horizontal="center" vertical="center"/>
      <protection hidden="1"/>
    </xf>
    <xf numFmtId="1" fontId="57" fillId="0" borderId="13" xfId="0" applyNumberFormat="1" applyFont="1" applyFill="1" applyBorder="1" applyAlignment="1" applyProtection="1">
      <alignment horizontal="center" vertical="center"/>
      <protection hidden="1"/>
    </xf>
    <xf numFmtId="166" fontId="30" fillId="0" borderId="20" xfId="0" applyNumberFormat="1" applyFont="1" applyFill="1" applyBorder="1" applyAlignment="1" applyProtection="1">
      <alignment horizontal="center" vertical="center"/>
      <protection hidden="1"/>
    </xf>
    <xf numFmtId="4" fontId="30" fillId="0" borderId="20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1" xfId="0" applyNumberFormat="1" applyFont="1" applyFill="1" applyBorder="1" applyAlignment="1">
      <alignment horizontal="center" vertical="center" wrapText="1"/>
    </xf>
    <xf numFmtId="2" fontId="30" fillId="0" borderId="13" xfId="0" applyNumberFormat="1" applyFont="1" applyFill="1" applyBorder="1" applyAlignment="1">
      <alignment horizontal="center" vertical="center" wrapText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42" fillId="48" borderId="10" xfId="357" applyFont="1" applyFill="1" applyBorder="1" applyAlignment="1">
      <alignment horizontal="center" vertical="center" wrapText="1"/>
    </xf>
    <xf numFmtId="0" fontId="59" fillId="0" borderId="0" xfId="334" applyFont="1" applyBorder="1" applyAlignment="1">
      <alignment horizontal="right"/>
    </xf>
    <xf numFmtId="0" fontId="59" fillId="0" borderId="0" xfId="357" applyFont="1" applyAlignment="1">
      <alignment vertical="center"/>
    </xf>
    <xf numFmtId="0" fontId="29" fillId="0" borderId="0" xfId="0" applyFont="1" applyBorder="1" applyAlignment="1" applyProtection="1">
      <alignment horizontal="left" vertical="center" wrapText="1"/>
      <protection hidden="1"/>
    </xf>
    <xf numFmtId="3" fontId="30" fillId="0" borderId="10" xfId="0" applyNumberFormat="1" applyFont="1" applyFill="1" applyBorder="1" applyAlignment="1" applyProtection="1">
      <alignment horizontal="center" vertical="center"/>
      <protection hidden="1"/>
    </xf>
    <xf numFmtId="166" fontId="30" fillId="0" borderId="14" xfId="0" applyNumberFormat="1" applyFont="1" applyBorder="1" applyAlignment="1" applyProtection="1">
      <alignment horizontal="center" vertical="center"/>
      <protection hidden="1"/>
    </xf>
    <xf numFmtId="0" fontId="30" fillId="0" borderId="14" xfId="0" applyFont="1" applyBorder="1" applyAlignment="1" applyProtection="1">
      <alignment horizontal="center" vertical="center" wrapText="1"/>
      <protection hidden="1"/>
    </xf>
    <xf numFmtId="2" fontId="30" fillId="0" borderId="14" xfId="0" applyNumberFormat="1" applyFont="1" applyBorder="1" applyAlignment="1" applyProtection="1">
      <alignment horizontal="center" vertical="center"/>
      <protection hidden="1"/>
    </xf>
    <xf numFmtId="0" fontId="45" fillId="0" borderId="0" xfId="0" applyFont="1" applyFill="1"/>
    <xf numFmtId="2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3" xfId="0" applyNumberFormat="1" applyFont="1" applyBorder="1" applyAlignment="1" applyProtection="1">
      <alignment horizontal="center" vertical="center" wrapText="1"/>
      <protection hidden="1"/>
    </xf>
    <xf numFmtId="4" fontId="30" fillId="0" borderId="14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Font="1" applyBorder="1" applyAlignment="1">
      <alignment vertical="center" wrapText="1"/>
    </xf>
    <xf numFmtId="2" fontId="30" fillId="0" borderId="10" xfId="0" applyNumberFormat="1" applyFont="1" applyBorder="1" applyAlignment="1">
      <alignment vertical="center" wrapText="1"/>
    </xf>
    <xf numFmtId="166" fontId="30" fillId="0" borderId="10" xfId="0" applyNumberFormat="1" applyFont="1" applyBorder="1" applyAlignment="1" applyProtection="1">
      <alignment vertical="center" wrapText="1"/>
      <protection hidden="1"/>
    </xf>
    <xf numFmtId="0" fontId="1" fillId="0" borderId="10" xfId="334" applyBorder="1"/>
    <xf numFmtId="3" fontId="57" fillId="0" borderId="15" xfId="0" applyNumberFormat="1" applyFont="1" applyFill="1" applyBorder="1" applyAlignment="1" applyProtection="1">
      <alignment horizontal="center" vertical="center"/>
      <protection hidden="1"/>
    </xf>
    <xf numFmtId="3" fontId="53" fillId="0" borderId="11" xfId="0" applyNumberFormat="1" applyFont="1" applyFill="1" applyBorder="1" applyAlignment="1" applyProtection="1">
      <alignment horizontal="center" vertical="center"/>
      <protection hidden="1"/>
    </xf>
    <xf numFmtId="3" fontId="53" fillId="0" borderId="12" xfId="0" applyNumberFormat="1" applyFont="1" applyFill="1" applyBorder="1" applyAlignment="1" applyProtection="1">
      <alignment horizontal="center" vertical="center"/>
      <protection hidden="1"/>
    </xf>
    <xf numFmtId="3" fontId="53" fillId="0" borderId="13" xfId="0" applyNumberFormat="1" applyFont="1" applyFill="1" applyBorder="1" applyAlignment="1" applyProtection="1">
      <alignment horizontal="center" vertical="center"/>
      <protection hidden="1"/>
    </xf>
    <xf numFmtId="0" fontId="42" fillId="48" borderId="28" xfId="357" applyFont="1" applyFill="1" applyBorder="1" applyAlignment="1">
      <alignment horizontal="center" vertical="center" wrapText="1"/>
    </xf>
    <xf numFmtId="3" fontId="57" fillId="0" borderId="11" xfId="0" applyNumberFormat="1" applyFont="1" applyFill="1" applyBorder="1" applyAlignment="1" applyProtection="1">
      <alignment horizontal="center" vertical="center"/>
      <protection hidden="1"/>
    </xf>
    <xf numFmtId="3" fontId="57" fillId="0" borderId="12" xfId="0" applyNumberFormat="1" applyFont="1" applyFill="1" applyBorder="1" applyAlignment="1" applyProtection="1">
      <alignment horizontal="center" vertical="center"/>
      <protection hidden="1"/>
    </xf>
    <xf numFmtId="3" fontId="57" fillId="0" borderId="13" xfId="0" applyNumberFormat="1" applyFont="1" applyFill="1" applyBorder="1" applyAlignment="1" applyProtection="1">
      <alignment horizontal="center" vertical="center"/>
      <protection hidden="1"/>
    </xf>
    <xf numFmtId="0" fontId="66" fillId="0" borderId="0" xfId="0" applyFont="1"/>
    <xf numFmtId="2" fontId="3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61" fillId="0" borderId="0" xfId="356" applyFont="1" applyBorder="1" applyAlignment="1" applyProtection="1">
      <protection hidden="1"/>
    </xf>
    <xf numFmtId="0" fontId="59" fillId="0" borderId="0" xfId="0" applyFont="1"/>
    <xf numFmtId="0" fontId="60" fillId="0" borderId="0" xfId="0" applyFont="1" applyBorder="1" applyAlignment="1" applyProtection="1">
      <alignment vertical="center" wrapText="1"/>
      <protection hidden="1"/>
    </xf>
    <xf numFmtId="0" fontId="64" fillId="0" borderId="0" xfId="0" applyFont="1" applyBorder="1" applyAlignment="1">
      <alignment vertical="center" wrapText="1"/>
    </xf>
    <xf numFmtId="0" fontId="30" fillId="49" borderId="0" xfId="0" applyFont="1" applyFill="1"/>
    <xf numFmtId="0" fontId="67" fillId="0" borderId="0" xfId="334" applyFont="1"/>
    <xf numFmtId="0" fontId="69" fillId="49" borderId="0" xfId="334" applyFont="1" applyFill="1"/>
    <xf numFmtId="0" fontId="1" fillId="49" borderId="0" xfId="334" applyFill="1"/>
    <xf numFmtId="0" fontId="68" fillId="49" borderId="0" xfId="334" applyFont="1" applyFill="1"/>
    <xf numFmtId="0" fontId="1" fillId="0" borderId="0" xfId="334" applyFill="1"/>
    <xf numFmtId="0" fontId="43" fillId="0" borderId="0" xfId="356" applyFont="1" applyFill="1" applyBorder="1" applyAlignment="1" applyProtection="1">
      <alignment vertical="top"/>
      <protection hidden="1"/>
    </xf>
    <xf numFmtId="0" fontId="50" fillId="0" borderId="0" xfId="334" applyFont="1" applyFill="1"/>
    <xf numFmtId="0" fontId="30" fillId="0" borderId="0" xfId="0" applyFont="1" applyFill="1" applyAlignment="1">
      <alignment vertical="center" wrapText="1"/>
    </xf>
    <xf numFmtId="1" fontId="30" fillId="49" borderId="0" xfId="0" applyNumberFormat="1" applyFont="1" applyFill="1"/>
    <xf numFmtId="1" fontId="30" fillId="0" borderId="11" xfId="0" applyNumberFormat="1" applyFont="1" applyBorder="1" applyAlignment="1" applyProtection="1">
      <alignment horizontal="center" vertical="center"/>
      <protection hidden="1"/>
    </xf>
    <xf numFmtId="1" fontId="30" fillId="0" borderId="20" xfId="0" applyNumberFormat="1" applyFont="1" applyFill="1" applyBorder="1" applyAlignment="1" applyProtection="1">
      <alignment horizontal="center" vertical="center"/>
      <protection hidden="1"/>
    </xf>
    <xf numFmtId="0" fontId="30" fillId="0" borderId="27" xfId="0" applyFont="1" applyBorder="1" applyAlignment="1" applyProtection="1">
      <alignment horizontal="center" vertical="center" wrapText="1"/>
      <protection hidden="1"/>
    </xf>
    <xf numFmtId="2" fontId="30" fillId="0" borderId="27" xfId="0" applyNumberFormat="1" applyFont="1" applyBorder="1" applyAlignment="1" applyProtection="1">
      <alignment horizontal="center" vertical="center"/>
      <protection hidden="1"/>
    </xf>
    <xf numFmtId="3" fontId="53" fillId="0" borderId="27" xfId="0" applyNumberFormat="1" applyFont="1" applyFill="1" applyBorder="1" applyAlignment="1" applyProtection="1">
      <alignment horizontal="center" vertical="center"/>
      <protection hidden="1"/>
    </xf>
    <xf numFmtId="3" fontId="53" fillId="0" borderId="14" xfId="0" applyNumberFormat="1" applyFont="1" applyFill="1" applyBorder="1" applyAlignment="1" applyProtection="1">
      <alignment horizontal="center" vertical="center"/>
      <protection hidden="1"/>
    </xf>
    <xf numFmtId="1" fontId="30" fillId="0" borderId="10" xfId="0" applyNumberFormat="1" applyFont="1" applyBorder="1" applyAlignment="1">
      <alignment horizontal="center" vertical="center" wrapText="1"/>
    </xf>
    <xf numFmtId="1" fontId="29" fillId="0" borderId="11" xfId="0" applyNumberFormat="1" applyFont="1" applyBorder="1" applyAlignment="1">
      <alignment horizontal="center" vertical="center" wrapText="1"/>
    </xf>
    <xf numFmtId="166" fontId="29" fillId="0" borderId="13" xfId="0" applyNumberFormat="1" applyFont="1" applyBorder="1" applyAlignment="1">
      <alignment horizontal="center" vertical="center" wrapText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76" fillId="0" borderId="0" xfId="356" applyFont="1" applyBorder="1" applyAlignment="1" applyProtection="1">
      <alignment vertical="center" wrapText="1"/>
      <protection hidden="1"/>
    </xf>
    <xf numFmtId="0" fontId="36" fillId="0" borderId="0" xfId="356" applyFont="1" applyBorder="1" applyAlignment="1" applyProtection="1">
      <protection hidden="1"/>
    </xf>
    <xf numFmtId="3" fontId="34" fillId="0" borderId="11" xfId="0" applyNumberFormat="1" applyFont="1" applyFill="1" applyBorder="1" applyAlignment="1" applyProtection="1">
      <alignment horizontal="center" vertical="center"/>
      <protection hidden="1"/>
    </xf>
    <xf numFmtId="3" fontId="34" fillId="0" borderId="12" xfId="0" applyNumberFormat="1" applyFont="1" applyFill="1" applyBorder="1" applyAlignment="1" applyProtection="1">
      <alignment horizontal="center" vertical="center"/>
      <protection hidden="1"/>
    </xf>
    <xf numFmtId="0" fontId="30" fillId="0" borderId="12" xfId="0" applyFont="1" applyBorder="1" applyAlignment="1" applyProtection="1">
      <alignment horizontal="center" vertical="center"/>
      <protection hidden="1"/>
    </xf>
    <xf numFmtId="1" fontId="34" fillId="0" borderId="12" xfId="0" applyNumberFormat="1" applyFont="1" applyFill="1" applyBorder="1" applyAlignment="1" applyProtection="1">
      <alignment horizontal="center" vertical="center" wrapText="1"/>
      <protection hidden="1"/>
    </xf>
    <xf numFmtId="1" fontId="34" fillId="49" borderId="12" xfId="0" applyNumberFormat="1" applyFont="1" applyFill="1" applyBorder="1" applyAlignment="1" applyProtection="1">
      <alignment horizontal="center" vertical="center" wrapText="1"/>
      <protection hidden="1"/>
    </xf>
    <xf numFmtId="1" fontId="34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34" fillId="49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4" xfId="0" applyFont="1" applyBorder="1" applyAlignment="1" applyProtection="1">
      <alignment horizontal="center" vertical="center"/>
      <protection hidden="1"/>
    </xf>
    <xf numFmtId="3" fontId="34" fillId="0" borderId="13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Fill="1"/>
    <xf numFmtId="0" fontId="34" fillId="0" borderId="0" xfId="0" applyFont="1" applyFill="1"/>
    <xf numFmtId="14" fontId="30" fillId="0" borderId="0" xfId="0" applyNumberFormat="1" applyFont="1" applyAlignment="1">
      <alignment horizontal="right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protection hidden="1"/>
    </xf>
    <xf numFmtId="0" fontId="77" fillId="0" borderId="0" xfId="0" applyFont="1" applyAlignment="1">
      <alignment vertical="top"/>
    </xf>
    <xf numFmtId="3" fontId="34" fillId="0" borderId="14" xfId="0" applyNumberFormat="1" applyFont="1" applyFill="1" applyBorder="1" applyAlignment="1" applyProtection="1">
      <alignment horizontal="center" vertical="center"/>
      <protection hidden="1"/>
    </xf>
    <xf numFmtId="0" fontId="65" fillId="0" borderId="0" xfId="0" applyFont="1"/>
    <xf numFmtId="0" fontId="30" fillId="0" borderId="11" xfId="0" applyFont="1" applyFill="1" applyBorder="1" applyAlignment="1" applyProtection="1">
      <alignment horizontal="center" vertical="center" wrapText="1"/>
      <protection hidden="1"/>
    </xf>
    <xf numFmtId="0" fontId="30" fillId="0" borderId="12" xfId="0" applyFont="1" applyFill="1" applyBorder="1" applyAlignment="1" applyProtection="1">
      <alignment horizontal="center" vertical="center" wrapText="1"/>
      <protection hidden="1"/>
    </xf>
    <xf numFmtId="0" fontId="30" fillId="0" borderId="13" xfId="0" applyFont="1" applyFill="1" applyBorder="1" applyAlignment="1" applyProtection="1">
      <alignment horizontal="center" vertical="center" wrapText="1"/>
      <protection hidden="1"/>
    </xf>
    <xf numFmtId="0" fontId="30" fillId="0" borderId="14" xfId="0" applyFont="1" applyFill="1" applyBorder="1" applyAlignment="1" applyProtection="1">
      <alignment horizontal="center" vertical="center" wrapText="1"/>
      <protection hidden="1"/>
    </xf>
    <xf numFmtId="0" fontId="29" fillId="51" borderId="10" xfId="0" applyFont="1" applyFill="1" applyBorder="1" applyAlignment="1">
      <alignment horizontal="center" vertical="center" wrapText="1"/>
    </xf>
    <xf numFmtId="3" fontId="29" fillId="51" borderId="10" xfId="0" applyNumberFormat="1" applyFont="1" applyFill="1" applyBorder="1" applyAlignment="1" applyProtection="1">
      <alignment horizontal="center" vertical="center" wrapText="1"/>
      <protection hidden="1"/>
    </xf>
    <xf numFmtId="0" fontId="65" fillId="0" borderId="10" xfId="0" applyFont="1" applyBorder="1" applyAlignment="1">
      <alignment horizontal="center"/>
    </xf>
    <xf numFmtId="0" fontId="30" fillId="0" borderId="17" xfId="0" applyFont="1" applyFill="1" applyBorder="1" applyAlignment="1" applyProtection="1">
      <alignment horizontal="left" vertical="center" wrapText="1" indent="1"/>
      <protection hidden="1"/>
    </xf>
    <xf numFmtId="1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2" xfId="0" applyFont="1" applyFill="1" applyBorder="1" applyAlignment="1" applyProtection="1">
      <alignment horizontal="left" vertical="center" wrapText="1" indent="1"/>
      <protection hidden="1"/>
    </xf>
    <xf numFmtId="0" fontId="30" fillId="0" borderId="15" xfId="0" applyFont="1" applyFill="1" applyBorder="1" applyAlignment="1" applyProtection="1">
      <alignment horizontal="left" vertical="center" wrapText="1" indent="1"/>
      <protection hidden="1"/>
    </xf>
    <xf numFmtId="1" fontId="30" fillId="0" borderId="15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15" xfId="0" applyNumberFormat="1" applyFont="1" applyFill="1" applyBorder="1" applyAlignment="1" applyProtection="1">
      <alignment horizontal="center" vertical="center"/>
      <protection hidden="1"/>
    </xf>
    <xf numFmtId="0" fontId="65" fillId="0" borderId="0" xfId="0" applyFont="1" applyBorder="1" applyAlignment="1">
      <alignment horizontal="center"/>
    </xf>
    <xf numFmtId="0" fontId="29" fillId="0" borderId="0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 applyProtection="1">
      <alignment horizontal="left" vertical="center" wrapText="1" indent="3"/>
      <protection hidden="1"/>
    </xf>
    <xf numFmtId="0" fontId="30" fillId="0" borderId="0" xfId="0" applyFont="1" applyFill="1" applyBorder="1" applyAlignment="1" applyProtection="1">
      <alignment horizontal="center" vertical="center" wrapText="1"/>
      <protection hidden="1"/>
    </xf>
    <xf numFmtId="1" fontId="30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52" borderId="10" xfId="0" applyFont="1" applyFill="1" applyBorder="1" applyAlignment="1" applyProtection="1">
      <alignment horizontal="center" vertical="center" wrapText="1"/>
      <protection hidden="1"/>
    </xf>
    <xf numFmtId="0" fontId="29" fillId="52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52" borderId="10" xfId="0" applyNumberFormat="1" applyFont="1" applyFill="1" applyBorder="1" applyAlignment="1" applyProtection="1">
      <alignment horizontal="center" vertical="center" wrapText="1"/>
      <protection hidden="1"/>
    </xf>
    <xf numFmtId="4" fontId="30" fillId="0" borderId="11" xfId="0" applyNumberFormat="1" applyFont="1" applyFill="1" applyBorder="1" applyAlignment="1" applyProtection="1">
      <alignment horizontal="center" vertical="center"/>
      <protection hidden="1"/>
    </xf>
    <xf numFmtId="4" fontId="30" fillId="0" borderId="13" xfId="0" applyNumberFormat="1" applyFont="1" applyFill="1" applyBorder="1" applyAlignment="1" applyProtection="1">
      <alignment horizontal="center" vertical="center"/>
      <protection hidden="1"/>
    </xf>
    <xf numFmtId="0" fontId="30" fillId="0" borderId="27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Fill="1" applyBorder="1" applyAlignment="1" applyProtection="1">
      <alignment horizontal="center" vertical="center" wrapText="1"/>
      <protection hidden="1"/>
    </xf>
    <xf numFmtId="0" fontId="25" fillId="0" borderId="15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>
      <alignment horizontal="center"/>
    </xf>
    <xf numFmtId="0" fontId="70" fillId="53" borderId="0" xfId="0" applyFont="1" applyFill="1" applyBorder="1" applyAlignment="1" applyProtection="1">
      <alignment horizontal="center" vertical="center" wrapText="1"/>
      <protection hidden="1"/>
    </xf>
    <xf numFmtId="1" fontId="81" fillId="53" borderId="0" xfId="0" applyNumberFormat="1" applyFont="1" applyFill="1" applyBorder="1" applyAlignment="1" applyProtection="1">
      <alignment horizontal="center" vertical="center" wrapText="1"/>
      <protection hidden="1"/>
    </xf>
    <xf numFmtId="2" fontId="32" fillId="53" borderId="0" xfId="0" applyNumberFormat="1" applyFont="1" applyFill="1" applyAlignment="1">
      <alignment horizontal="center"/>
    </xf>
    <xf numFmtId="0" fontId="32" fillId="53" borderId="0" xfId="0" applyFont="1" applyFill="1" applyAlignment="1">
      <alignment horizontal="center"/>
    </xf>
    <xf numFmtId="0" fontId="47" fillId="48" borderId="28" xfId="357" applyFont="1" applyFill="1" applyBorder="1" applyAlignment="1">
      <alignment horizontal="center" vertical="center" wrapText="1"/>
    </xf>
    <xf numFmtId="4" fontId="30" fillId="0" borderId="14" xfId="0" applyNumberFormat="1" applyFont="1" applyBorder="1" applyAlignment="1" applyProtection="1">
      <alignment horizontal="center" vertical="center"/>
      <protection hidden="1"/>
    </xf>
    <xf numFmtId="3" fontId="57" fillId="0" borderId="14" xfId="0" applyNumberFormat="1" applyFont="1" applyFill="1" applyBorder="1" applyAlignment="1" applyProtection="1">
      <alignment horizontal="center" vertical="center"/>
      <protection hidden="1"/>
    </xf>
    <xf numFmtId="3" fontId="30" fillId="0" borderId="11" xfId="0" applyNumberFormat="1" applyFont="1" applyFill="1" applyBorder="1" applyAlignment="1" applyProtection="1">
      <alignment horizontal="center" vertical="center"/>
      <protection hidden="1"/>
    </xf>
    <xf numFmtId="4" fontId="30" fillId="0" borderId="27" xfId="0" applyNumberFormat="1" applyFont="1" applyFill="1" applyBorder="1" applyAlignment="1" applyProtection="1">
      <alignment horizontal="center" vertical="center"/>
      <protection hidden="1"/>
    </xf>
    <xf numFmtId="3" fontId="30" fillId="0" borderId="27" xfId="0" applyNumberFormat="1" applyFont="1" applyFill="1" applyBorder="1" applyAlignment="1" applyProtection="1">
      <alignment horizontal="center" vertical="center"/>
      <protection hidden="1"/>
    </xf>
    <xf numFmtId="4" fontId="30" fillId="0" borderId="27" xfId="0" applyNumberFormat="1" applyFont="1" applyBorder="1" applyAlignment="1" applyProtection="1">
      <alignment horizontal="center" vertical="center"/>
      <protection hidden="1"/>
    </xf>
    <xf numFmtId="2" fontId="30" fillId="0" borderId="14" xfId="0" applyNumberFormat="1" applyFont="1" applyBorder="1" applyAlignment="1" applyProtection="1">
      <alignment horizontal="center" vertical="center" wrapText="1"/>
      <protection hidden="1"/>
    </xf>
    <xf numFmtId="3" fontId="57" fillId="0" borderId="27" xfId="0" applyNumberFormat="1" applyFont="1" applyFill="1" applyBorder="1" applyAlignment="1" applyProtection="1">
      <alignment horizontal="center" vertical="center"/>
      <protection hidden="1"/>
    </xf>
    <xf numFmtId="3" fontId="30" fillId="0" borderId="14" xfId="0" applyNumberFormat="1" applyFont="1" applyFill="1" applyBorder="1" applyAlignment="1" applyProtection="1">
      <alignment horizontal="center" vertical="center"/>
      <protection hidden="1"/>
    </xf>
    <xf numFmtId="3" fontId="30" fillId="0" borderId="13" xfId="0" applyNumberFormat="1" applyFont="1" applyFill="1" applyBorder="1" applyAlignment="1" applyProtection="1">
      <alignment horizontal="center" vertical="center"/>
      <protection hidden="1"/>
    </xf>
    <xf numFmtId="2" fontId="30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20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3" fontId="57" fillId="0" borderId="17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1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42" fillId="48" borderId="10" xfId="357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3" fontId="30" fillId="0" borderId="12" xfId="0" applyNumberFormat="1" applyFont="1" applyFill="1" applyBorder="1" applyAlignment="1" applyProtection="1">
      <alignment horizontal="center" vertical="center"/>
      <protection hidden="1"/>
    </xf>
    <xf numFmtId="4" fontId="30" fillId="0" borderId="12" xfId="0" applyNumberFormat="1" applyFont="1" applyFill="1" applyBorder="1" applyAlignment="1" applyProtection="1">
      <alignment horizontal="center" vertical="center"/>
      <protection hidden="1"/>
    </xf>
    <xf numFmtId="0" fontId="81" fillId="0" borderId="26" xfId="0" applyFont="1" applyBorder="1" applyAlignment="1" applyProtection="1">
      <alignment horizontal="center" vertical="center" wrapText="1"/>
      <protection hidden="1"/>
    </xf>
    <xf numFmtId="2" fontId="81" fillId="0" borderId="26" xfId="0" applyNumberFormat="1" applyFont="1" applyFill="1" applyBorder="1" applyAlignment="1" applyProtection="1">
      <alignment horizontal="center" vertical="center" wrapText="1"/>
      <protection hidden="1"/>
    </xf>
    <xf numFmtId="0" fontId="81" fillId="0" borderId="11" xfId="0" applyNumberFormat="1" applyFont="1" applyBorder="1" applyAlignment="1" applyProtection="1">
      <alignment horizontal="center" vertical="center"/>
      <protection hidden="1"/>
    </xf>
    <xf numFmtId="0" fontId="81" fillId="0" borderId="14" xfId="0" applyNumberFormat="1" applyFont="1" applyBorder="1" applyAlignment="1" applyProtection="1">
      <alignment horizontal="center" vertical="center"/>
      <protection hidden="1"/>
    </xf>
    <xf numFmtId="0" fontId="81" fillId="0" borderId="12" xfId="0" applyNumberFormat="1" applyFont="1" applyBorder="1" applyAlignment="1" applyProtection="1">
      <alignment horizontal="center" vertical="center"/>
      <protection hidden="1"/>
    </xf>
    <xf numFmtId="0" fontId="81" fillId="0" borderId="13" xfId="0" applyNumberFormat="1" applyFont="1" applyBorder="1" applyAlignment="1" applyProtection="1">
      <alignment horizontal="center" vertical="center"/>
      <protection hidden="1"/>
    </xf>
    <xf numFmtId="0" fontId="81" fillId="0" borderId="13" xfId="0" applyNumberFormat="1" applyFont="1" applyFill="1" applyBorder="1" applyAlignment="1" applyProtection="1">
      <alignment horizontal="center" vertical="center"/>
      <protection hidden="1"/>
    </xf>
    <xf numFmtId="0" fontId="81" fillId="0" borderId="27" xfId="0" applyNumberFormat="1" applyFont="1" applyBorder="1" applyAlignment="1" applyProtection="1">
      <alignment horizontal="center" vertical="center"/>
      <protection hidden="1"/>
    </xf>
    <xf numFmtId="0" fontId="81" fillId="0" borderId="11" xfId="0" applyNumberFormat="1" applyFont="1" applyFill="1" applyBorder="1" applyAlignment="1" applyProtection="1">
      <alignment horizontal="center" vertical="center"/>
      <protection hidden="1"/>
    </xf>
    <xf numFmtId="0" fontId="81" fillId="0" borderId="14" xfId="0" applyNumberFormat="1" applyFont="1" applyFill="1" applyBorder="1" applyAlignment="1" applyProtection="1">
      <alignment horizontal="center" vertical="center"/>
      <protection hidden="1"/>
    </xf>
    <xf numFmtId="0" fontId="81" fillId="0" borderId="27" xfId="0" applyNumberFormat="1" applyFont="1" applyFill="1" applyBorder="1" applyAlignment="1" applyProtection="1">
      <alignment horizontal="center" vertical="center"/>
      <protection hidden="1"/>
    </xf>
    <xf numFmtId="0" fontId="81" fillId="0" borderId="12" xfId="0" applyNumberFormat="1" applyFont="1" applyFill="1" applyBorder="1" applyAlignment="1" applyProtection="1">
      <alignment horizontal="center" vertical="center"/>
      <protection hidden="1"/>
    </xf>
    <xf numFmtId="166" fontId="30" fillId="0" borderId="11" xfId="0" applyNumberFormat="1" applyFont="1" applyFill="1" applyBorder="1" applyAlignment="1" applyProtection="1">
      <alignment horizontal="center" vertical="center"/>
      <protection hidden="1"/>
    </xf>
    <xf numFmtId="166" fontId="30" fillId="0" borderId="13" xfId="0" applyNumberFormat="1" applyFont="1" applyFill="1" applyBorder="1" applyAlignment="1" applyProtection="1">
      <alignment horizontal="center" vertical="center"/>
      <protection hidden="1"/>
    </xf>
    <xf numFmtId="166" fontId="30" fillId="0" borderId="14" xfId="0" applyNumberFormat="1" applyFont="1" applyFill="1" applyBorder="1" applyAlignment="1" applyProtection="1">
      <alignment horizontal="center" vertical="center"/>
      <protection hidden="1"/>
    </xf>
    <xf numFmtId="166" fontId="30" fillId="0" borderId="27" xfId="0" applyNumberFormat="1" applyFont="1" applyFill="1" applyBorder="1" applyAlignment="1" applyProtection="1">
      <alignment horizontal="center" vertical="center"/>
      <protection hidden="1"/>
    </xf>
    <xf numFmtId="166" fontId="30" fillId="0" borderId="12" xfId="0" applyNumberFormat="1" applyFont="1" applyFill="1" applyBorder="1" applyAlignment="1" applyProtection="1">
      <alignment horizontal="center" vertical="center"/>
      <protection hidden="1"/>
    </xf>
    <xf numFmtId="166" fontId="30" fillId="0" borderId="27" xfId="0" applyNumberFormat="1" applyFont="1" applyBorder="1" applyAlignment="1" applyProtection="1">
      <alignment horizontal="center" vertical="center"/>
      <protection hidden="1"/>
    </xf>
    <xf numFmtId="0" fontId="29" fillId="0" borderId="26" xfId="0" applyFont="1" applyBorder="1" applyAlignment="1" applyProtection="1">
      <alignment vertical="center" wrapText="1"/>
      <protection hidden="1"/>
    </xf>
    <xf numFmtId="0" fontId="29" fillId="0" borderId="26" xfId="0" applyFont="1" applyFill="1" applyBorder="1" applyAlignment="1" applyProtection="1">
      <alignment vertical="center" wrapText="1"/>
      <protection hidden="1"/>
    </xf>
    <xf numFmtId="0" fontId="29" fillId="0" borderId="32" xfId="0" applyFont="1" applyFill="1" applyBorder="1" applyAlignment="1" applyProtection="1">
      <alignment vertical="center"/>
      <protection hidden="1"/>
    </xf>
    <xf numFmtId="0" fontId="29" fillId="0" borderId="34" xfId="0" applyFont="1" applyFill="1" applyBorder="1" applyAlignment="1" applyProtection="1">
      <alignment vertical="center"/>
      <protection hidden="1"/>
    </xf>
    <xf numFmtId="0" fontId="29" fillId="0" borderId="30" xfId="0" applyFont="1" applyFill="1" applyBorder="1" applyAlignment="1" applyProtection="1">
      <alignment vertical="center"/>
      <protection hidden="1"/>
    </xf>
    <xf numFmtId="2" fontId="30" fillId="0" borderId="18" xfId="0" applyNumberFormat="1" applyFont="1" applyFill="1" applyBorder="1" applyAlignment="1" applyProtection="1">
      <alignment vertical="center" wrapText="1"/>
      <protection hidden="1"/>
    </xf>
    <xf numFmtId="2" fontId="30" fillId="0" borderId="28" xfId="0" applyNumberFormat="1" applyFont="1" applyFill="1" applyBorder="1" applyAlignment="1" applyProtection="1">
      <alignment vertical="center" wrapText="1"/>
      <protection hidden="1"/>
    </xf>
    <xf numFmtId="0" fontId="30" fillId="0" borderId="26" xfId="0" applyFont="1" applyBorder="1" applyAlignment="1" applyProtection="1">
      <alignment vertical="center" wrapText="1"/>
      <protection hidden="1"/>
    </xf>
    <xf numFmtId="2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3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32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34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30" xfId="0" applyNumberFormat="1" applyFont="1" applyFill="1" applyBorder="1" applyAlignment="1" applyProtection="1">
      <alignment horizontal="center" vertical="center" wrapText="1"/>
      <protection hidden="1"/>
    </xf>
    <xf numFmtId="2" fontId="81" fillId="0" borderId="32" xfId="0" applyNumberFormat="1" applyFont="1" applyFill="1" applyBorder="1" applyAlignment="1" applyProtection="1">
      <alignment horizontal="center" vertical="center" wrapText="1"/>
      <protection hidden="1"/>
    </xf>
    <xf numFmtId="2" fontId="81" fillId="0" borderId="30" xfId="0" applyNumberFormat="1" applyFont="1" applyFill="1" applyBorder="1" applyAlignment="1" applyProtection="1">
      <alignment horizontal="center" vertical="center" wrapText="1"/>
      <protection hidden="1"/>
    </xf>
    <xf numFmtId="2" fontId="81" fillId="0" borderId="34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16" xfId="356" applyFont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wrapText="1"/>
      <protection hidden="1"/>
    </xf>
    <xf numFmtId="0" fontId="79" fillId="0" borderId="0" xfId="0" applyFont="1" applyBorder="1" applyAlignment="1" applyProtection="1">
      <alignment vertical="center" wrapText="1"/>
      <protection hidden="1"/>
    </xf>
    <xf numFmtId="0" fontId="79" fillId="0" borderId="0" xfId="0" applyFont="1" applyBorder="1" applyAlignment="1">
      <alignment vertical="center" wrapText="1"/>
    </xf>
    <xf numFmtId="0" fontId="33" fillId="0" borderId="0" xfId="0" applyFont="1" applyBorder="1" applyAlignment="1">
      <alignment horizontal="left" vertical="center" wrapText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30" fillId="0" borderId="10" xfId="0" applyFont="1" applyBorder="1" applyAlignment="1">
      <alignment horizontal="center" vertical="center" wrapText="1"/>
    </xf>
    <xf numFmtId="0" fontId="33" fillId="48" borderId="10" xfId="334" applyFont="1" applyFill="1" applyBorder="1" applyAlignment="1">
      <alignment horizontal="center" vertical="center"/>
    </xf>
    <xf numFmtId="0" fontId="26" fillId="0" borderId="0" xfId="334" applyFont="1" applyBorder="1" applyAlignment="1" applyProtection="1">
      <alignment horizontal="left" vertical="top"/>
      <protection hidden="1"/>
    </xf>
    <xf numFmtId="9" fontId="45" fillId="0" borderId="10" xfId="373" applyFont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166" fontId="30" fillId="0" borderId="12" xfId="394" applyNumberFormat="1" applyFont="1" applyBorder="1" applyAlignment="1" applyProtection="1">
      <alignment horizontal="center" vertical="center"/>
      <protection hidden="1"/>
    </xf>
    <xf numFmtId="2" fontId="29" fillId="0" borderId="20" xfId="0" applyNumberFormat="1" applyFont="1" applyFill="1" applyBorder="1" applyAlignment="1">
      <alignment vertical="center" wrapText="1"/>
    </xf>
    <xf numFmtId="2" fontId="29" fillId="0" borderId="15" xfId="0" applyNumberFormat="1" applyFont="1" applyFill="1" applyBorder="1" applyAlignment="1">
      <alignment vertical="center" wrapText="1"/>
    </xf>
    <xf numFmtId="0" fontId="36" fillId="0" borderId="16" xfId="356" applyFont="1" applyBorder="1" applyAlignment="1" applyProtection="1">
      <alignment vertical="top"/>
      <protection hidden="1"/>
    </xf>
    <xf numFmtId="14" fontId="30" fillId="0" borderId="16" xfId="0" applyNumberFormat="1" applyFont="1" applyBorder="1" applyAlignment="1">
      <alignment horizontal="right"/>
    </xf>
    <xf numFmtId="166" fontId="30" fillId="0" borderId="11" xfId="334" applyNumberFormat="1" applyFont="1" applyBorder="1" applyAlignment="1" applyProtection="1">
      <alignment horizontal="center" vertical="center"/>
      <protection hidden="1"/>
    </xf>
    <xf numFmtId="0" fontId="30" fillId="0" borderId="11" xfId="334" applyFont="1" applyBorder="1" applyAlignment="1" applyProtection="1">
      <alignment horizontal="center" vertical="center"/>
      <protection hidden="1"/>
    </xf>
    <xf numFmtId="4" fontId="30" fillId="0" borderId="11" xfId="334" applyNumberFormat="1" applyFont="1" applyFill="1" applyBorder="1" applyAlignment="1" applyProtection="1">
      <alignment horizontal="center" vertical="center"/>
      <protection hidden="1"/>
    </xf>
    <xf numFmtId="166" fontId="30" fillId="0" borderId="12" xfId="334" applyNumberFormat="1" applyFont="1" applyBorder="1" applyAlignment="1" applyProtection="1">
      <alignment horizontal="center" vertical="center"/>
      <protection hidden="1"/>
    </xf>
    <xf numFmtId="0" fontId="30" fillId="0" borderId="12" xfId="334" applyFont="1" applyBorder="1" applyAlignment="1" applyProtection="1">
      <alignment horizontal="center" vertical="center"/>
      <protection hidden="1"/>
    </xf>
    <xf numFmtId="4" fontId="30" fillId="0" borderId="12" xfId="334" applyNumberFormat="1" applyFont="1" applyFill="1" applyBorder="1" applyAlignment="1" applyProtection="1">
      <alignment horizontal="center" vertical="center"/>
      <protection hidden="1"/>
    </xf>
    <xf numFmtId="166" fontId="30" fillId="0" borderId="13" xfId="334" applyNumberFormat="1" applyFont="1" applyBorder="1" applyAlignment="1" applyProtection="1">
      <alignment horizontal="center" vertical="center"/>
      <protection hidden="1"/>
    </xf>
    <xf numFmtId="0" fontId="30" fillId="0" borderId="13" xfId="334" applyFont="1" applyBorder="1" applyAlignment="1" applyProtection="1">
      <alignment horizontal="center" vertical="center"/>
      <protection hidden="1"/>
    </xf>
    <xf numFmtId="4" fontId="30" fillId="0" borderId="13" xfId="334" applyNumberFormat="1" applyFont="1" applyFill="1" applyBorder="1" applyAlignment="1" applyProtection="1">
      <alignment horizontal="center" vertical="center"/>
      <protection hidden="1"/>
    </xf>
    <xf numFmtId="0" fontId="30" fillId="0" borderId="10" xfId="334" applyFont="1" applyBorder="1" applyAlignment="1" applyProtection="1">
      <alignment horizontal="center" vertical="center" wrapText="1"/>
      <protection hidden="1"/>
    </xf>
    <xf numFmtId="0" fontId="29" fillId="0" borderId="10" xfId="330" applyFont="1" applyBorder="1" applyAlignment="1" applyProtection="1">
      <alignment horizontal="center" vertical="center" wrapText="1"/>
      <protection hidden="1"/>
    </xf>
    <xf numFmtId="2" fontId="30" fillId="0" borderId="13" xfId="334" applyNumberFormat="1" applyFont="1" applyBorder="1" applyAlignment="1" applyProtection="1">
      <alignment horizontal="center" vertical="center"/>
      <protection hidden="1"/>
    </xf>
    <xf numFmtId="2" fontId="30" fillId="0" borderId="12" xfId="334" applyNumberFormat="1" applyFont="1" applyBorder="1" applyAlignment="1" applyProtection="1">
      <alignment horizontal="center" vertical="center"/>
      <protection hidden="1"/>
    </xf>
    <xf numFmtId="0" fontId="30" fillId="0" borderId="10" xfId="334" applyFont="1" applyBorder="1" applyAlignment="1" applyProtection="1">
      <alignment horizontal="center" vertical="center"/>
      <protection hidden="1"/>
    </xf>
    <xf numFmtId="0" fontId="30" fillId="0" borderId="10" xfId="334" applyFont="1" applyFill="1" applyBorder="1" applyAlignment="1" applyProtection="1">
      <alignment horizontal="center" vertical="center" wrapText="1"/>
      <protection hidden="1"/>
    </xf>
    <xf numFmtId="4" fontId="30" fillId="0" borderId="10" xfId="334" applyNumberFormat="1" applyFont="1" applyFill="1" applyBorder="1" applyAlignment="1" applyProtection="1">
      <alignment horizontal="center" vertical="center"/>
      <protection hidden="1"/>
    </xf>
    <xf numFmtId="0" fontId="30" fillId="0" borderId="10" xfId="334" applyFont="1" applyFill="1" applyBorder="1" applyAlignment="1" applyProtection="1">
      <alignment vertical="center" wrapText="1"/>
      <protection hidden="1"/>
    </xf>
    <xf numFmtId="0" fontId="30" fillId="0" borderId="15" xfId="330" applyFont="1" applyBorder="1" applyAlignment="1" applyProtection="1">
      <alignment horizontal="center" vertical="center" wrapText="1"/>
      <protection hidden="1"/>
    </xf>
    <xf numFmtId="0" fontId="30" fillId="0" borderId="10" xfId="334" applyFont="1" applyBorder="1" applyAlignment="1">
      <alignment horizontal="center" vertical="center"/>
    </xf>
    <xf numFmtId="0" fontId="30" fillId="0" borderId="32" xfId="330" applyFont="1" applyBorder="1" applyAlignment="1" applyProtection="1">
      <alignment horizontal="center" vertical="center" wrapText="1"/>
      <protection hidden="1"/>
    </xf>
    <xf numFmtId="0" fontId="30" fillId="0" borderId="30" xfId="330" applyFont="1" applyBorder="1" applyAlignment="1" applyProtection="1">
      <alignment horizontal="center" vertical="center" wrapText="1"/>
      <protection hidden="1"/>
    </xf>
    <xf numFmtId="0" fontId="30" fillId="0" borderId="16" xfId="334" applyFont="1" applyBorder="1" applyAlignment="1" applyProtection="1">
      <alignment vertical="center" wrapText="1"/>
      <protection hidden="1"/>
    </xf>
    <xf numFmtId="0" fontId="30" fillId="0" borderId="20" xfId="334" applyFont="1" applyBorder="1" applyAlignment="1" applyProtection="1">
      <alignment horizontal="center" vertical="center"/>
      <protection hidden="1"/>
    </xf>
    <xf numFmtId="0" fontId="68" fillId="51" borderId="0" xfId="334" applyFont="1" applyFill="1"/>
    <xf numFmtId="0" fontId="29" fillId="50" borderId="10" xfId="0" applyFont="1" applyFill="1" applyBorder="1" applyAlignment="1">
      <alignment horizontal="center" vertical="center"/>
    </xf>
    <xf numFmtId="0" fontId="30" fillId="0" borderId="12" xfId="0" applyFont="1" applyBorder="1" applyAlignment="1">
      <alignment horizontal="center" vertical="center" wrapText="1"/>
    </xf>
    <xf numFmtId="0" fontId="30" fillId="0" borderId="10" xfId="0" applyNumberFormat="1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30" fillId="0" borderId="0" xfId="0" applyFont="1" applyBorder="1" applyAlignment="1" applyProtection="1">
      <alignment vertical="center"/>
      <protection hidden="1"/>
    </xf>
    <xf numFmtId="0" fontId="36" fillId="0" borderId="0" xfId="0" applyFont="1" applyBorder="1" applyAlignment="1"/>
    <xf numFmtId="0" fontId="30" fillId="0" borderId="0" xfId="0" applyFont="1" applyAlignment="1">
      <alignment horizontal="right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1" fontId="81" fillId="53" borderId="0" xfId="0" applyNumberFormat="1" applyFont="1" applyFill="1" applyAlignment="1">
      <alignment horizontal="center"/>
    </xf>
    <xf numFmtId="14" fontId="30" fillId="0" borderId="16" xfId="0" applyNumberFormat="1" applyFont="1" applyBorder="1" applyAlignment="1" applyProtection="1">
      <alignment horizontal="right"/>
      <protection hidden="1"/>
    </xf>
    <xf numFmtId="166" fontId="30" fillId="0" borderId="11" xfId="0" applyNumberFormat="1" applyFont="1" applyFill="1" applyBorder="1" applyAlignment="1" applyProtection="1">
      <alignment horizontal="left" vertical="center" indent="2"/>
      <protection hidden="1"/>
    </xf>
    <xf numFmtId="166" fontId="30" fillId="0" borderId="14" xfId="0" applyNumberFormat="1" applyFont="1" applyFill="1" applyBorder="1" applyAlignment="1" applyProtection="1">
      <alignment horizontal="left" vertical="center" indent="2"/>
      <protection hidden="1"/>
    </xf>
    <xf numFmtId="166" fontId="30" fillId="0" borderId="13" xfId="0" applyNumberFormat="1" applyFont="1" applyFill="1" applyBorder="1" applyAlignment="1" applyProtection="1">
      <alignment horizontal="left" vertical="center" indent="2"/>
      <protection hidden="1"/>
    </xf>
    <xf numFmtId="166" fontId="30" fillId="0" borderId="20" xfId="0" applyNumberFormat="1" applyFont="1" applyFill="1" applyBorder="1" applyAlignment="1" applyProtection="1">
      <alignment horizontal="left" vertical="center" indent="2"/>
      <protection hidden="1"/>
    </xf>
    <xf numFmtId="2" fontId="30" fillId="0" borderId="20" xfId="0" applyNumberFormat="1" applyFont="1" applyFill="1" applyBorder="1" applyAlignment="1" applyProtection="1">
      <alignment horizontal="center" vertical="center"/>
      <protection hidden="1"/>
    </xf>
    <xf numFmtId="0" fontId="29" fillId="47" borderId="10" xfId="0" applyFont="1" applyFill="1" applyBorder="1" applyAlignment="1" applyProtection="1">
      <alignment horizontal="center" vertical="center" wrapText="1"/>
      <protection hidden="1"/>
    </xf>
    <xf numFmtId="3" fontId="53" fillId="0" borderId="20" xfId="0" applyNumberFormat="1" applyFont="1" applyFill="1" applyBorder="1" applyAlignment="1" applyProtection="1">
      <alignment horizontal="center" vertical="center"/>
      <protection hidden="1"/>
    </xf>
    <xf numFmtId="3" fontId="53" fillId="0" borderId="20" xfId="0" applyNumberFormat="1" applyFont="1" applyFill="1" applyBorder="1" applyAlignment="1" applyProtection="1">
      <alignment horizontal="center" vertical="center"/>
      <protection hidden="1"/>
    </xf>
    <xf numFmtId="0" fontId="29" fillId="47" borderId="10" xfId="0" applyFont="1" applyFill="1" applyBorder="1" applyAlignment="1" applyProtection="1">
      <alignment horizontal="center" vertical="center" wrapText="1"/>
      <protection hidden="1"/>
    </xf>
    <xf numFmtId="2" fontId="30" fillId="0" borderId="20" xfId="0" applyNumberFormat="1" applyFont="1" applyFill="1" applyBorder="1" applyAlignment="1" applyProtection="1">
      <alignment horizontal="center" vertical="center"/>
      <protection hidden="1"/>
    </xf>
    <xf numFmtId="1" fontId="34" fillId="0" borderId="13" xfId="0" applyNumberFormat="1" applyFont="1" applyFill="1" applyBorder="1" applyAlignment="1" applyProtection="1">
      <alignment horizontal="center" vertical="center" wrapText="1"/>
      <protection hidden="1"/>
    </xf>
    <xf numFmtId="1" fontId="34" fillId="49" borderId="13" xfId="0" applyNumberFormat="1" applyFont="1" applyFill="1" applyBorder="1" applyAlignment="1" applyProtection="1">
      <alignment horizontal="center" vertical="center" wrapText="1"/>
      <protection hidden="1"/>
    </xf>
    <xf numFmtId="1" fontId="34" fillId="53" borderId="12" xfId="0" applyNumberFormat="1" applyFont="1" applyFill="1" applyBorder="1" applyAlignment="1" applyProtection="1">
      <alignment horizontal="center" vertical="center" wrapText="1"/>
      <protection hidden="1"/>
    </xf>
    <xf numFmtId="1" fontId="34" fillId="53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Alignment="1"/>
    <xf numFmtId="0" fontId="29" fillId="0" borderId="0" xfId="0" applyFont="1" applyAlignment="1"/>
    <xf numFmtId="0" fontId="29" fillId="0" borderId="0" xfId="0" applyFont="1" applyBorder="1" applyAlignment="1" applyProtection="1">
      <alignment vertical="top" wrapText="1"/>
      <protection hidden="1"/>
    </xf>
    <xf numFmtId="0" fontId="30" fillId="0" borderId="0" xfId="0" applyFont="1" applyBorder="1" applyAlignment="1" applyProtection="1">
      <alignment vertical="top"/>
      <protection hidden="1"/>
    </xf>
    <xf numFmtId="0" fontId="29" fillId="0" borderId="17" xfId="0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81" fillId="0" borderId="26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3" fontId="57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46" borderId="26" xfId="0" applyFont="1" applyFill="1" applyBorder="1" applyAlignment="1" applyProtection="1">
      <alignment horizontal="left" vertical="center" wrapText="1"/>
      <protection hidden="1"/>
    </xf>
    <xf numFmtId="0" fontId="29" fillId="46" borderId="28" xfId="0" applyFont="1" applyFill="1" applyBorder="1" applyAlignment="1" applyProtection="1">
      <alignment horizontal="left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46" borderId="0" xfId="0" applyFont="1" applyFill="1" applyBorder="1" applyAlignment="1" applyProtection="1">
      <alignment vertical="center" wrapText="1"/>
      <protection hidden="1"/>
    </xf>
    <xf numFmtId="0" fontId="30" fillId="0" borderId="0" xfId="0" applyFont="1" applyBorder="1" applyAlignment="1" applyProtection="1">
      <alignment vertical="center" wrapText="1"/>
      <protection hidden="1"/>
    </xf>
    <xf numFmtId="2" fontId="30" fillId="0" borderId="0" xfId="0" applyNumberFormat="1" applyFont="1" applyFill="1" applyBorder="1" applyAlignment="1" applyProtection="1">
      <alignment vertical="center"/>
      <protection hidden="1"/>
    </xf>
    <xf numFmtId="0" fontId="30" fillId="0" borderId="0" xfId="0" applyNumberFormat="1" applyFont="1" applyBorder="1" applyAlignment="1" applyProtection="1">
      <alignment vertical="center" wrapText="1"/>
      <protection hidden="1"/>
    </xf>
    <xf numFmtId="3" fontId="53" fillId="0" borderId="0" xfId="0" applyNumberFormat="1" applyFont="1" applyFill="1" applyBorder="1" applyAlignment="1" applyProtection="1">
      <alignment vertical="center"/>
      <protection hidden="1"/>
    </xf>
    <xf numFmtId="1" fontId="34" fillId="53" borderId="13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/>
      <protection hidden="1"/>
    </xf>
    <xf numFmtId="0" fontId="87" fillId="0" borderId="12" xfId="0" applyFont="1" applyBorder="1" applyAlignment="1" applyProtection="1">
      <alignment horizontal="center" vertical="center"/>
      <protection hidden="1"/>
    </xf>
    <xf numFmtId="0" fontId="88" fillId="0" borderId="14" xfId="0" applyFont="1" applyBorder="1" applyAlignment="1" applyProtection="1">
      <alignment horizontal="center" vertical="center"/>
      <protection hidden="1"/>
    </xf>
    <xf numFmtId="2" fontId="87" fillId="0" borderId="11" xfId="0" applyNumberFormat="1" applyFont="1" applyBorder="1" applyAlignment="1" applyProtection="1">
      <alignment horizontal="center" vertical="center"/>
      <protection hidden="1"/>
    </xf>
    <xf numFmtId="1" fontId="87" fillId="0" borderId="11" xfId="0" applyNumberFormat="1" applyFont="1" applyBorder="1" applyAlignment="1" applyProtection="1">
      <alignment horizontal="center" vertical="center"/>
      <protection hidden="1"/>
    </xf>
    <xf numFmtId="0" fontId="88" fillId="0" borderId="12" xfId="0" applyFont="1" applyBorder="1" applyAlignment="1" applyProtection="1">
      <alignment horizontal="center" vertical="center"/>
      <protection hidden="1"/>
    </xf>
    <xf numFmtId="2" fontId="87" fillId="0" borderId="12" xfId="0" applyNumberFormat="1" applyFont="1" applyBorder="1" applyAlignment="1" applyProtection="1">
      <alignment horizontal="center" vertical="center"/>
      <protection hidden="1"/>
    </xf>
    <xf numFmtId="1" fontId="87" fillId="0" borderId="12" xfId="0" applyNumberFormat="1" applyFont="1" applyBorder="1" applyAlignment="1" applyProtection="1">
      <alignment horizontal="center" vertical="center"/>
      <protection hidden="1"/>
    </xf>
    <xf numFmtId="1" fontId="87" fillId="0" borderId="12" xfId="0" applyNumberFormat="1" applyFont="1" applyFill="1" applyBorder="1" applyAlignment="1" applyProtection="1">
      <alignment horizontal="center" vertical="center"/>
      <protection hidden="1"/>
    </xf>
    <xf numFmtId="1" fontId="88" fillId="0" borderId="12" xfId="0" applyNumberFormat="1" applyFont="1" applyFill="1" applyBorder="1" applyAlignment="1" applyProtection="1">
      <alignment horizontal="center" vertical="center"/>
      <protection hidden="1"/>
    </xf>
    <xf numFmtId="0" fontId="87" fillId="0" borderId="11" xfId="0" applyFont="1" applyBorder="1" applyAlignment="1" applyProtection="1">
      <alignment horizontal="center" vertical="center"/>
      <protection hidden="1"/>
    </xf>
    <xf numFmtId="0" fontId="88" fillId="0" borderId="11" xfId="0" applyFont="1" applyBorder="1" applyAlignment="1" applyProtection="1">
      <alignment horizontal="center" vertical="center"/>
      <protection hidden="1"/>
    </xf>
    <xf numFmtId="0" fontId="87" fillId="0" borderId="14" xfId="0" applyFont="1" applyBorder="1" applyAlignment="1" applyProtection="1">
      <alignment horizontal="center" vertical="center"/>
      <protection hidden="1"/>
    </xf>
    <xf numFmtId="2" fontId="87" fillId="0" borderId="14" xfId="0" applyNumberFormat="1" applyFont="1" applyBorder="1" applyAlignment="1" applyProtection="1">
      <alignment horizontal="center" vertical="center"/>
      <protection hidden="1"/>
    </xf>
    <xf numFmtId="1" fontId="87" fillId="0" borderId="14" xfId="0" applyNumberFormat="1" applyFont="1" applyBorder="1" applyAlignment="1" applyProtection="1">
      <alignment horizontal="center" vertical="center"/>
      <protection hidden="1"/>
    </xf>
    <xf numFmtId="0" fontId="87" fillId="0" borderId="13" xfId="0" applyFont="1" applyBorder="1" applyAlignment="1" applyProtection="1">
      <alignment horizontal="center" vertical="center"/>
      <protection hidden="1"/>
    </xf>
    <xf numFmtId="0" fontId="88" fillId="0" borderId="13" xfId="0" applyFont="1" applyBorder="1" applyAlignment="1" applyProtection="1">
      <alignment horizontal="center" vertical="center"/>
      <protection hidden="1"/>
    </xf>
    <xf numFmtId="2" fontId="87" fillId="0" borderId="13" xfId="0" applyNumberFormat="1" applyFont="1" applyBorder="1" applyAlignment="1" applyProtection="1">
      <alignment horizontal="center" vertical="center"/>
      <protection hidden="1"/>
    </xf>
    <xf numFmtId="1" fontId="87" fillId="0" borderId="13" xfId="0" applyNumberFormat="1" applyFont="1" applyBorder="1" applyAlignment="1" applyProtection="1">
      <alignment horizontal="center" vertical="center"/>
      <protection hidden="1"/>
    </xf>
    <xf numFmtId="1" fontId="88" fillId="0" borderId="11" xfId="0" applyNumberFormat="1" applyFont="1" applyBorder="1" applyAlignment="1" applyProtection="1">
      <alignment horizontal="center" vertical="center"/>
      <protection hidden="1"/>
    </xf>
    <xf numFmtId="1" fontId="88" fillId="0" borderId="14" xfId="0" applyNumberFormat="1" applyFont="1" applyBorder="1" applyAlignment="1" applyProtection="1">
      <alignment horizontal="center" vertical="center"/>
      <protection hidden="1"/>
    </xf>
    <xf numFmtId="1" fontId="88" fillId="0" borderId="12" xfId="0" applyNumberFormat="1" applyFont="1" applyBorder="1" applyAlignment="1" applyProtection="1">
      <alignment horizontal="center" vertical="center"/>
      <protection hidden="1"/>
    </xf>
    <xf numFmtId="1" fontId="87" fillId="0" borderId="27" xfId="0" applyNumberFormat="1" applyFont="1" applyBorder="1" applyAlignment="1" applyProtection="1">
      <alignment horizontal="center" vertical="center"/>
      <protection hidden="1"/>
    </xf>
    <xf numFmtId="1" fontId="88" fillId="0" borderId="27" xfId="0" applyNumberFormat="1" applyFont="1" applyBorder="1" applyAlignment="1" applyProtection="1">
      <alignment horizontal="center" vertical="center"/>
      <protection hidden="1"/>
    </xf>
    <xf numFmtId="2" fontId="87" fillId="0" borderId="27" xfId="0" applyNumberFormat="1" applyFont="1" applyBorder="1" applyAlignment="1" applyProtection="1">
      <alignment horizontal="center" vertical="center"/>
      <protection hidden="1"/>
    </xf>
    <xf numFmtId="1" fontId="87" fillId="0" borderId="15" xfId="0" applyNumberFormat="1" applyFont="1" applyBorder="1" applyAlignment="1" applyProtection="1">
      <alignment horizontal="center" vertical="center"/>
      <protection hidden="1"/>
    </xf>
    <xf numFmtId="1" fontId="88" fillId="0" borderId="15" xfId="0" applyNumberFormat="1" applyFont="1" applyBorder="1" applyAlignment="1" applyProtection="1">
      <alignment horizontal="center" vertical="center"/>
      <protection hidden="1"/>
    </xf>
    <xf numFmtId="2" fontId="87" fillId="0" borderId="15" xfId="0" applyNumberFormat="1" applyFont="1" applyBorder="1" applyAlignment="1" applyProtection="1">
      <alignment horizontal="center" vertical="center"/>
      <protection hidden="1"/>
    </xf>
    <xf numFmtId="3" fontId="87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87" fillId="53" borderId="11" xfId="0" applyNumberFormat="1" applyFont="1" applyFill="1" applyBorder="1" applyAlignment="1" applyProtection="1">
      <alignment horizontal="center" vertical="center" wrapText="1"/>
      <protection hidden="1"/>
    </xf>
    <xf numFmtId="3" fontId="87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87" fillId="53" borderId="12" xfId="0" applyNumberFormat="1" applyFont="1" applyFill="1" applyBorder="1" applyAlignment="1" applyProtection="1">
      <alignment horizontal="center" vertical="center" wrapText="1"/>
      <protection hidden="1"/>
    </xf>
    <xf numFmtId="3" fontId="87" fillId="0" borderId="13" xfId="0" applyNumberFormat="1" applyFont="1" applyFill="1" applyBorder="1" applyAlignment="1" applyProtection="1">
      <alignment horizontal="center" vertical="center" wrapText="1"/>
      <protection hidden="1"/>
    </xf>
    <xf numFmtId="3" fontId="87" fillId="53" borderId="13" xfId="0" applyNumberFormat="1" applyFont="1" applyFill="1" applyBorder="1" applyAlignment="1" applyProtection="1">
      <alignment horizontal="center" vertical="center" wrapText="1"/>
      <protection hidden="1"/>
    </xf>
    <xf numFmtId="1" fontId="87" fillId="0" borderId="13" xfId="0" applyNumberFormat="1" applyFont="1" applyFill="1" applyBorder="1" applyAlignment="1" applyProtection="1">
      <alignment horizontal="center" vertical="center"/>
      <protection hidden="1"/>
    </xf>
    <xf numFmtId="1" fontId="88" fillId="0" borderId="13" xfId="0" applyNumberFormat="1" applyFont="1" applyFill="1" applyBorder="1" applyAlignment="1" applyProtection="1">
      <alignment horizontal="center" vertical="center"/>
      <protection hidden="1"/>
    </xf>
    <xf numFmtId="0" fontId="29" fillId="55" borderId="15" xfId="334" applyFont="1" applyFill="1" applyBorder="1" applyAlignment="1" applyProtection="1">
      <alignment horizontal="center" vertical="center" wrapText="1"/>
      <protection hidden="1"/>
    </xf>
    <xf numFmtId="0" fontId="29" fillId="55" borderId="10" xfId="334" applyFont="1" applyFill="1" applyBorder="1" applyAlignment="1" applyProtection="1">
      <alignment horizontal="center" vertical="center" wrapText="1"/>
      <protection hidden="1"/>
    </xf>
    <xf numFmtId="0" fontId="29" fillId="56" borderId="26" xfId="330" applyFont="1" applyFill="1" applyBorder="1" applyAlignment="1" applyProtection="1">
      <alignment horizontal="center" vertical="center" wrapText="1"/>
      <protection hidden="1"/>
    </xf>
    <xf numFmtId="0" fontId="29" fillId="56" borderId="10" xfId="330" applyFont="1" applyFill="1" applyBorder="1" applyAlignment="1" applyProtection="1">
      <alignment horizontal="center" vertical="center" wrapText="1"/>
      <protection hidden="1"/>
    </xf>
    <xf numFmtId="0" fontId="29" fillId="55" borderId="10" xfId="0" applyFont="1" applyFill="1" applyBorder="1" applyAlignment="1" applyProtection="1">
      <alignment horizontal="center" vertical="center" wrapText="1"/>
      <protection hidden="1"/>
    </xf>
    <xf numFmtId="0" fontId="29" fillId="55" borderId="26" xfId="0" applyFont="1" applyFill="1" applyBorder="1" applyAlignment="1" applyProtection="1">
      <alignment vertical="center" wrapText="1"/>
      <protection hidden="1"/>
    </xf>
    <xf numFmtId="0" fontId="29" fillId="55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55" borderId="10" xfId="0" applyNumberFormat="1" applyFont="1" applyFill="1" applyBorder="1" applyAlignment="1" applyProtection="1">
      <alignment horizontal="center" vertical="center" wrapText="1"/>
      <protection hidden="1"/>
    </xf>
    <xf numFmtId="0" fontId="59" fillId="51" borderId="23" xfId="0" applyFont="1" applyFill="1" applyBorder="1"/>
    <xf numFmtId="0" fontId="30" fillId="0" borderId="0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0" fillId="46" borderId="10" xfId="0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Border="1" applyAlignment="1" applyProtection="1">
      <protection hidden="1"/>
    </xf>
    <xf numFmtId="0" fontId="29" fillId="0" borderId="0" xfId="0" applyFont="1" applyFill="1" applyBorder="1" applyAlignment="1" applyProtection="1">
      <alignment vertical="center" wrapText="1"/>
      <protection hidden="1"/>
    </xf>
    <xf numFmtId="0" fontId="29" fillId="0" borderId="0" xfId="0" applyFont="1" applyFill="1" applyBorder="1" applyAlignment="1" applyProtection="1">
      <alignment vertical="top" wrapText="1"/>
      <protection hidden="1"/>
    </xf>
    <xf numFmtId="2" fontId="30" fillId="0" borderId="0" xfId="0" applyNumberFormat="1" applyFont="1"/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3" fontId="57" fillId="0" borderId="15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29" fillId="47" borderId="1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center"/>
    </xf>
    <xf numFmtId="3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/>
    <xf numFmtId="3" fontId="30" fillId="0" borderId="10" xfId="0" applyNumberFormat="1" applyFont="1" applyFill="1" applyBorder="1" applyAlignment="1">
      <alignment horizontal="center" vertical="center"/>
    </xf>
    <xf numFmtId="0" fontId="30" fillId="51" borderId="0" xfId="0" applyFont="1" applyFill="1"/>
    <xf numFmtId="0" fontId="30" fillId="51" borderId="0" xfId="0" applyFont="1" applyFill="1" applyBorder="1"/>
    <xf numFmtId="0" fontId="45" fillId="51" borderId="0" xfId="0" applyFont="1" applyFill="1"/>
    <xf numFmtId="0" fontId="48" fillId="51" borderId="0" xfId="0" applyFont="1" applyFill="1"/>
    <xf numFmtId="3" fontId="30" fillId="51" borderId="0" xfId="0" applyNumberFormat="1" applyFont="1" applyFill="1" applyAlignment="1">
      <alignment vertical="center"/>
    </xf>
    <xf numFmtId="0" fontId="91" fillId="0" borderId="0" xfId="0" applyFont="1" applyFill="1" applyBorder="1" applyAlignment="1">
      <alignment horizontal="left" vertical="top" wrapText="1"/>
    </xf>
    <xf numFmtId="3" fontId="91" fillId="0" borderId="0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vertical="top" wrapText="1"/>
    </xf>
    <xf numFmtId="0" fontId="30" fillId="0" borderId="28" xfId="0" applyFont="1" applyFill="1" applyBorder="1" applyAlignment="1">
      <alignment vertical="top" wrapText="1"/>
    </xf>
    <xf numFmtId="0" fontId="29" fillId="0" borderId="0" xfId="0" applyFont="1" applyFill="1" applyBorder="1" applyAlignment="1" applyProtection="1">
      <alignment horizontal="left" vertical="center"/>
      <protection hidden="1"/>
    </xf>
    <xf numFmtId="3" fontId="30" fillId="0" borderId="0" xfId="0" applyNumberFormat="1" applyFont="1" applyAlignment="1">
      <alignment wrapText="1"/>
    </xf>
    <xf numFmtId="0" fontId="3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70" fillId="0" borderId="10" xfId="0" applyFont="1" applyFill="1" applyBorder="1" applyAlignment="1" applyProtection="1">
      <alignment horizontal="center" vertical="center" wrapText="1"/>
      <protection hidden="1"/>
    </xf>
    <xf numFmtId="0" fontId="83" fillId="54" borderId="19" xfId="0" applyFont="1" applyFill="1" applyBorder="1" applyAlignment="1">
      <alignment vertical="center"/>
    </xf>
    <xf numFmtId="0" fontId="83" fillId="0" borderId="0" xfId="0" applyFont="1" applyFill="1" applyBorder="1" applyAlignment="1">
      <alignment vertical="center"/>
    </xf>
    <xf numFmtId="0" fontId="29" fillId="55" borderId="10" xfId="0" applyFont="1" applyFill="1" applyBorder="1" applyAlignment="1" applyProtection="1">
      <alignment horizontal="center" vertical="center"/>
      <protection hidden="1"/>
    </xf>
    <xf numFmtId="0" fontId="71" fillId="0" borderId="0" xfId="0" applyFont="1" applyBorder="1" applyAlignment="1" applyProtection="1">
      <alignment vertical="center" wrapText="1"/>
      <protection hidden="1"/>
    </xf>
    <xf numFmtId="0" fontId="30" fillId="0" borderId="0" xfId="411" applyFont="1" applyBorder="1" applyAlignment="1" applyProtection="1">
      <alignment vertical="center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3" fontId="34" fillId="0" borderId="20" xfId="0" applyNumberFormat="1" applyFont="1" applyFill="1" applyBorder="1" applyAlignment="1" applyProtection="1">
      <alignment horizontal="center" vertical="center"/>
      <protection hidden="1"/>
    </xf>
    <xf numFmtId="1" fontId="30" fillId="0" borderId="11" xfId="0" applyNumberFormat="1" applyFont="1" applyFill="1" applyBorder="1" applyAlignment="1" applyProtection="1">
      <alignment horizontal="center" vertical="center"/>
      <protection hidden="1"/>
    </xf>
    <xf numFmtId="166" fontId="30" fillId="53" borderId="17" xfId="0" applyNumberFormat="1" applyFont="1" applyFill="1" applyBorder="1" applyAlignment="1" applyProtection="1">
      <alignment horizontal="left" vertical="center" indent="2"/>
      <protection hidden="1"/>
    </xf>
    <xf numFmtId="0" fontId="30" fillId="53" borderId="17" xfId="0" applyFont="1" applyFill="1" applyBorder="1" applyAlignment="1" applyProtection="1">
      <alignment horizontal="center" vertical="center" wrapText="1"/>
      <protection hidden="1"/>
    </xf>
    <xf numFmtId="4" fontId="30" fillId="53" borderId="11" xfId="0" applyNumberFormat="1" applyFont="1" applyFill="1" applyBorder="1" applyAlignment="1" applyProtection="1">
      <alignment horizontal="center" vertical="center"/>
      <protection hidden="1"/>
    </xf>
    <xf numFmtId="3" fontId="34" fillId="53" borderId="11" xfId="0" applyNumberFormat="1" applyFont="1" applyFill="1" applyBorder="1" applyAlignment="1" applyProtection="1">
      <alignment horizontal="center" vertical="center"/>
      <protection hidden="1"/>
    </xf>
    <xf numFmtId="166" fontId="30" fillId="53" borderId="13" xfId="0" applyNumberFormat="1" applyFont="1" applyFill="1" applyBorder="1" applyAlignment="1" applyProtection="1">
      <alignment horizontal="left" vertical="center" indent="2"/>
      <protection hidden="1"/>
    </xf>
    <xf numFmtId="0" fontId="30" fillId="53" borderId="13" xfId="0" applyFont="1" applyFill="1" applyBorder="1" applyAlignment="1" applyProtection="1">
      <alignment horizontal="center" vertical="center" wrapText="1"/>
      <protection hidden="1"/>
    </xf>
    <xf numFmtId="4" fontId="30" fillId="53" borderId="13" xfId="0" applyNumberFormat="1" applyFont="1" applyFill="1" applyBorder="1" applyAlignment="1" applyProtection="1">
      <alignment horizontal="center" vertical="center"/>
      <protection hidden="1"/>
    </xf>
    <xf numFmtId="3" fontId="34" fillId="53" borderId="13" xfId="0" applyNumberFormat="1" applyFont="1" applyFill="1" applyBorder="1" applyAlignment="1" applyProtection="1">
      <alignment horizontal="center" vertical="center"/>
      <protection hidden="1"/>
    </xf>
    <xf numFmtId="166" fontId="30" fillId="0" borderId="0" xfId="0" applyNumberFormat="1" applyFont="1"/>
    <xf numFmtId="0" fontId="34" fillId="0" borderId="0" xfId="355" applyFont="1" applyBorder="1" applyAlignment="1">
      <alignment horizontal="center" vertical="center" wrapText="1"/>
    </xf>
    <xf numFmtId="2" fontId="29" fillId="0" borderId="0" xfId="184" applyNumberFormat="1" applyFont="1" applyFill="1" applyBorder="1" applyAlignment="1">
      <alignment horizontal="center" vertical="center" wrapText="1"/>
    </xf>
    <xf numFmtId="4" fontId="30" fillId="0" borderId="0" xfId="355" applyNumberFormat="1" applyFont="1" applyFill="1" applyBorder="1" applyAlignment="1">
      <alignment horizontal="center" vertical="center" wrapText="1"/>
    </xf>
    <xf numFmtId="3" fontId="34" fillId="0" borderId="0" xfId="355" applyNumberFormat="1" applyFont="1" applyFill="1" applyBorder="1" applyAlignment="1">
      <alignment horizontal="center" vertical="center" wrapText="1"/>
    </xf>
    <xf numFmtId="0" fontId="34" fillId="0" borderId="10" xfId="355" applyFont="1" applyBorder="1" applyAlignment="1">
      <alignment horizontal="center" vertical="center" wrapText="1"/>
    </xf>
    <xf numFmtId="0" fontId="29" fillId="47" borderId="17" xfId="0" applyFont="1" applyFill="1" applyBorder="1" applyAlignment="1">
      <alignment horizontal="center" vertical="center"/>
    </xf>
    <xf numFmtId="0" fontId="30" fillId="0" borderId="20" xfId="334" applyFont="1" applyBorder="1" applyAlignment="1" applyProtection="1">
      <alignment horizontal="center" vertical="center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81" fillId="0" borderId="26" xfId="0" applyFont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3" fontId="57" fillId="0" borderId="15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81" fillId="0" borderId="26" xfId="0" applyFont="1" applyFill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81" fillId="0" borderId="0" xfId="0" applyFont="1" applyBorder="1" applyAlignment="1" applyProtection="1">
      <alignment vertical="center" wrapText="1"/>
      <protection hidden="1"/>
    </xf>
    <xf numFmtId="0" fontId="81" fillId="0" borderId="0" xfId="0" applyFont="1" applyFill="1" applyBorder="1" applyAlignment="1" applyProtection="1">
      <alignment vertical="center" wrapText="1"/>
      <protection hidden="1"/>
    </xf>
    <xf numFmtId="1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59" fillId="49" borderId="0" xfId="0" applyFont="1" applyFill="1" applyAlignment="1">
      <alignment horizontal="center" vertical="center"/>
    </xf>
    <xf numFmtId="0" fontId="71" fillId="0" borderId="0" xfId="0" applyFont="1" applyFill="1" applyBorder="1" applyAlignment="1" applyProtection="1">
      <alignment vertical="top" wrapText="1"/>
      <protection hidden="1"/>
    </xf>
    <xf numFmtId="0" fontId="61" fillId="0" borderId="0" xfId="356" applyFont="1" applyBorder="1" applyAlignment="1" applyProtection="1">
      <alignment horizontal="center" vertical="center"/>
      <protection hidden="1"/>
    </xf>
    <xf numFmtId="0" fontId="66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0" fillId="0" borderId="0" xfId="0" applyFont="1" applyBorder="1" applyAlignment="1" applyProtection="1">
      <alignment horizontal="center" vertical="center" wrapText="1"/>
      <protection hidden="1"/>
    </xf>
    <xf numFmtId="0" fontId="64" fillId="0" borderId="0" xfId="0" applyFont="1" applyBorder="1" applyAlignment="1">
      <alignment horizontal="center" vertical="center" wrapText="1"/>
    </xf>
    <xf numFmtId="0" fontId="59" fillId="0" borderId="0" xfId="357" applyFont="1" applyAlignment="1">
      <alignment horizontal="center" vertical="center"/>
    </xf>
    <xf numFmtId="0" fontId="78" fillId="0" borderId="0" xfId="0" applyFont="1" applyAlignment="1">
      <alignment vertical="center"/>
    </xf>
    <xf numFmtId="166" fontId="0" fillId="0" borderId="0" xfId="0" applyNumberFormat="1"/>
    <xf numFmtId="3" fontId="30" fillId="0" borderId="0" xfId="0" applyNumberFormat="1" applyFont="1" applyAlignment="1">
      <alignment vertical="center"/>
    </xf>
    <xf numFmtId="0" fontId="83" fillId="54" borderId="19" xfId="0" applyFont="1" applyFill="1" applyBorder="1" applyAlignment="1">
      <alignment horizontal="left" vertical="center"/>
    </xf>
    <xf numFmtId="0" fontId="30" fillId="0" borderId="15" xfId="330" applyFont="1" applyBorder="1" applyAlignment="1" applyProtection="1">
      <alignment horizontal="center" vertical="center" wrapText="1"/>
      <protection hidden="1"/>
    </xf>
    <xf numFmtId="0" fontId="30" fillId="0" borderId="0" xfId="334" applyFont="1" applyFill="1" applyBorder="1" applyAlignment="1" applyProtection="1">
      <alignment vertical="center" wrapText="1"/>
      <protection hidden="1"/>
    </xf>
    <xf numFmtId="0" fontId="65" fillId="0" borderId="17" xfId="0" applyFont="1" applyBorder="1" applyAlignment="1"/>
    <xf numFmtId="0" fontId="65" fillId="0" borderId="20" xfId="0" applyFont="1" applyBorder="1" applyAlignment="1"/>
    <xf numFmtId="0" fontId="65" fillId="0" borderId="15" xfId="0" applyFont="1" applyBorder="1" applyAlignment="1"/>
    <xf numFmtId="2" fontId="29" fillId="0" borderId="10" xfId="0" applyNumberFormat="1" applyFont="1" applyBorder="1" applyAlignment="1">
      <alignment horizontal="center" vertical="center" wrapText="1"/>
    </xf>
    <xf numFmtId="0" fontId="29" fillId="47" borderId="10" xfId="0" applyFont="1" applyFill="1" applyBorder="1" applyAlignment="1">
      <alignment horizontal="center" vertical="center" wrapText="1"/>
    </xf>
    <xf numFmtId="2" fontId="30" fillId="0" borderId="15" xfId="0" applyNumberFormat="1" applyFont="1" applyFill="1" applyBorder="1" applyAlignment="1">
      <alignment horizontal="center" vertical="center" wrapText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2" fontId="30" fillId="0" borderId="11" xfId="0" applyNumberFormat="1" applyFont="1" applyBorder="1" applyAlignment="1">
      <alignment horizontal="center" vertical="center" wrapText="1"/>
    </xf>
    <xf numFmtId="2" fontId="30" fillId="0" borderId="13" xfId="0" applyNumberFormat="1" applyFont="1" applyBorder="1" applyAlignment="1">
      <alignment horizontal="center" vertical="center" wrapText="1"/>
    </xf>
    <xf numFmtId="2" fontId="29" fillId="0" borderId="15" xfId="0" applyNumberFormat="1" applyFont="1" applyBorder="1" applyAlignment="1">
      <alignment horizontal="center" vertical="center" wrapText="1"/>
    </xf>
    <xf numFmtId="2" fontId="33" fillId="0" borderId="14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>
      <alignment horizontal="center" vertical="center" wrapText="1"/>
    </xf>
    <xf numFmtId="2" fontId="30" fillId="0" borderId="10" xfId="0" applyNumberFormat="1" applyFont="1" applyBorder="1" applyAlignment="1">
      <alignment horizontal="center" vertical="center" wrapText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55" borderId="26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34" xfId="334" applyNumberFormat="1" applyFont="1" applyBorder="1" applyAlignment="1" applyProtection="1">
      <alignment horizontal="center" vertical="center" wrapText="1"/>
      <protection hidden="1"/>
    </xf>
    <xf numFmtId="0" fontId="30" fillId="0" borderId="30" xfId="334" applyNumberFormat="1" applyFont="1" applyBorder="1" applyAlignment="1" applyProtection="1">
      <alignment horizontal="center" vertical="center" wrapText="1"/>
      <protection hidden="1"/>
    </xf>
    <xf numFmtId="0" fontId="30" fillId="0" borderId="23" xfId="334" applyFont="1" applyBorder="1" applyAlignment="1" applyProtection="1">
      <alignment vertical="center" wrapText="1"/>
      <protection hidden="1"/>
    </xf>
    <xf numFmtId="0" fontId="30" fillId="0" borderId="26" xfId="357" applyFont="1" applyFill="1" applyBorder="1" applyAlignment="1">
      <alignment horizontal="center" vertical="center"/>
    </xf>
    <xf numFmtId="0" fontId="29" fillId="0" borderId="21" xfId="334" applyFont="1" applyFill="1" applyBorder="1" applyAlignment="1" applyProtection="1">
      <alignment vertical="center" wrapText="1"/>
      <protection hidden="1"/>
    </xf>
    <xf numFmtId="0" fontId="29" fillId="0" borderId="19" xfId="334" applyFont="1" applyFill="1" applyBorder="1" applyAlignment="1" applyProtection="1">
      <alignment vertical="center" wrapText="1"/>
      <protection hidden="1"/>
    </xf>
    <xf numFmtId="0" fontId="30" fillId="0" borderId="23" xfId="334" applyFont="1" applyFill="1" applyBorder="1" applyAlignment="1" applyProtection="1">
      <alignment vertical="center" wrapText="1"/>
      <protection hidden="1"/>
    </xf>
    <xf numFmtId="0" fontId="30" fillId="0" borderId="25" xfId="334" applyFont="1" applyBorder="1" applyAlignment="1" applyProtection="1">
      <alignment vertical="center" wrapText="1"/>
      <protection hidden="1"/>
    </xf>
    <xf numFmtId="0" fontId="30" fillId="54" borderId="0" xfId="334" applyFont="1" applyFill="1" applyBorder="1" applyAlignment="1" applyProtection="1">
      <alignment vertical="center" wrapText="1"/>
      <protection hidden="1"/>
    </xf>
    <xf numFmtId="0" fontId="30" fillId="54" borderId="24" xfId="334" applyFont="1" applyFill="1" applyBorder="1" applyAlignment="1" applyProtection="1">
      <alignment vertical="center" wrapText="1"/>
      <protection hidden="1"/>
    </xf>
    <xf numFmtId="0" fontId="1" fillId="54" borderId="0" xfId="334" applyFill="1"/>
    <xf numFmtId="0" fontId="1" fillId="0" borderId="0" xfId="334" applyBorder="1"/>
    <xf numFmtId="0" fontId="29" fillId="0" borderId="0" xfId="334" applyFont="1" applyBorder="1" applyAlignment="1" applyProtection="1">
      <alignment vertical="center" wrapText="1"/>
      <protection hidden="1"/>
    </xf>
    <xf numFmtId="0" fontId="1" fillId="54" borderId="19" xfId="334" applyFill="1" applyBorder="1"/>
    <xf numFmtId="0" fontId="30" fillId="54" borderId="19" xfId="330" applyFont="1" applyFill="1" applyBorder="1" applyAlignment="1" applyProtection="1">
      <alignment horizontal="center" vertical="center" wrapText="1"/>
      <protection hidden="1"/>
    </xf>
    <xf numFmtId="0" fontId="34" fillId="54" borderId="19" xfId="334" applyFont="1" applyFill="1" applyBorder="1" applyAlignment="1" applyProtection="1">
      <alignment horizontal="center" vertical="center"/>
      <protection hidden="1"/>
    </xf>
    <xf numFmtId="0" fontId="30" fillId="0" borderId="17" xfId="0" applyFont="1" applyBorder="1" applyAlignment="1">
      <alignment vertical="center" wrapText="1"/>
    </xf>
    <xf numFmtId="0" fontId="30" fillId="0" borderId="15" xfId="0" applyFont="1" applyBorder="1" applyAlignment="1">
      <alignment vertical="center" wrapText="1"/>
    </xf>
    <xf numFmtId="0" fontId="68" fillId="0" borderId="0" xfId="334" applyFont="1" applyFill="1"/>
    <xf numFmtId="0" fontId="53" fillId="0" borderId="0" xfId="0" applyFont="1" applyAlignment="1">
      <alignment vertical="top"/>
    </xf>
    <xf numFmtId="0" fontId="30" fillId="0" borderId="24" xfId="0" applyFont="1" applyBorder="1" applyAlignment="1">
      <alignment vertical="center" wrapText="1"/>
    </xf>
    <xf numFmtId="0" fontId="30" fillId="0" borderId="66" xfId="330" applyFont="1" applyBorder="1" applyAlignment="1" applyProtection="1">
      <alignment horizontal="left" vertical="center" wrapText="1"/>
      <protection hidden="1"/>
    </xf>
    <xf numFmtId="0" fontId="30" fillId="0" borderId="13" xfId="330" applyFont="1" applyBorder="1" applyAlignment="1" applyProtection="1">
      <alignment horizontal="left" vertical="center" wrapText="1"/>
      <protection hidden="1"/>
    </xf>
    <xf numFmtId="0" fontId="30" fillId="0" borderId="11" xfId="330" applyFont="1" applyBorder="1" applyAlignment="1" applyProtection="1">
      <alignment horizontal="left" vertical="center" wrapText="1"/>
      <protection hidden="1"/>
    </xf>
    <xf numFmtId="0" fontId="30" fillId="0" borderId="67" xfId="330" applyFont="1" applyBorder="1" applyAlignment="1" applyProtection="1">
      <alignment horizontal="left" vertical="center" wrapText="1"/>
      <protection hidden="1"/>
    </xf>
    <xf numFmtId="2" fontId="30" fillId="0" borderId="14" xfId="334" applyNumberFormat="1" applyFont="1" applyBorder="1" applyAlignment="1" applyProtection="1">
      <alignment horizontal="center" vertical="center"/>
      <protection hidden="1"/>
    </xf>
    <xf numFmtId="3" fontId="30" fillId="0" borderId="10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50" xfId="334" applyNumberFormat="1" applyFont="1" applyBorder="1" applyAlignment="1" applyProtection="1">
      <alignment horizontal="center" vertical="center" wrapText="1"/>
      <protection hidden="1"/>
    </xf>
    <xf numFmtId="2" fontId="30" fillId="0" borderId="10" xfId="334" applyNumberFormat="1" applyFont="1" applyBorder="1" applyAlignment="1" applyProtection="1">
      <alignment horizontal="center" vertical="center"/>
      <protection hidden="1"/>
    </xf>
    <xf numFmtId="0" fontId="30" fillId="0" borderId="26" xfId="334" applyNumberFormat="1" applyFont="1" applyBorder="1" applyAlignment="1" applyProtection="1">
      <alignment horizontal="center" vertical="center" wrapText="1"/>
      <protection hidden="1"/>
    </xf>
    <xf numFmtId="0" fontId="30" fillId="0" borderId="27" xfId="330" applyFont="1" applyBorder="1" applyAlignment="1" applyProtection="1">
      <alignment horizontal="left" vertical="center" wrapText="1"/>
      <protection hidden="1"/>
    </xf>
    <xf numFmtId="3" fontId="29" fillId="0" borderId="72" xfId="334" applyNumberFormat="1" applyFont="1" applyBorder="1" applyAlignment="1" applyProtection="1">
      <alignment vertical="center" textRotation="60" wrapText="1"/>
      <protection hidden="1"/>
    </xf>
    <xf numFmtId="0" fontId="30" fillId="0" borderId="72" xfId="330" applyFont="1" applyBorder="1" applyAlignment="1" applyProtection="1">
      <alignment horizontal="left" vertical="center" wrapText="1"/>
      <protection hidden="1"/>
    </xf>
    <xf numFmtId="3" fontId="29" fillId="0" borderId="0" xfId="334" applyNumberFormat="1" applyFont="1" applyBorder="1" applyAlignment="1" applyProtection="1">
      <alignment vertical="center" textRotation="60" wrapText="1"/>
      <protection hidden="1"/>
    </xf>
    <xf numFmtId="0" fontId="30" fillId="0" borderId="0" xfId="330" applyFont="1" applyBorder="1" applyAlignment="1" applyProtection="1">
      <alignment horizontal="left" vertical="center" wrapText="1"/>
      <protection hidden="1"/>
    </xf>
    <xf numFmtId="0" fontId="29" fillId="47" borderId="15" xfId="0" applyFont="1" applyFill="1" applyBorder="1" applyAlignment="1">
      <alignment horizontal="center" vertical="center" wrapText="1"/>
    </xf>
    <xf numFmtId="0" fontId="28" fillId="0" borderId="0" xfId="356" applyFont="1" applyFill="1" applyBorder="1" applyAlignment="1" applyProtection="1">
      <protection hidden="1"/>
    </xf>
    <xf numFmtId="0" fontId="48" fillId="0" borderId="0" xfId="0" applyFont="1"/>
    <xf numFmtId="0" fontId="65" fillId="0" borderId="0" xfId="0" applyFont="1" applyAlignment="1">
      <alignment horizontal="right"/>
    </xf>
    <xf numFmtId="0" fontId="48" fillId="0" borderId="0" xfId="0" applyFont="1" applyAlignment="1">
      <alignment vertical="center"/>
    </xf>
    <xf numFmtId="0" fontId="0" fillId="0" borderId="0" xfId="0" applyAlignment="1">
      <alignment vertical="center"/>
    </xf>
    <xf numFmtId="0" fontId="65" fillId="49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 vertical="center" wrapText="1"/>
    </xf>
    <xf numFmtId="0" fontId="65" fillId="49" borderId="0" xfId="0" applyFont="1" applyFill="1"/>
    <xf numFmtId="0" fontId="30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0" fillId="0" borderId="0" xfId="0" applyFill="1" applyBorder="1"/>
    <xf numFmtId="0" fontId="33" fillId="0" borderId="0" xfId="0" applyFont="1" applyFill="1" applyBorder="1" applyAlignment="1">
      <alignment horizontal="center" vertical="center" wrapText="1"/>
    </xf>
    <xf numFmtId="0" fontId="65" fillId="0" borderId="0" xfId="0" applyFont="1" applyFill="1" applyBorder="1"/>
    <xf numFmtId="0" fontId="48" fillId="0" borderId="0" xfId="0" applyFont="1" applyFill="1" applyBorder="1"/>
    <xf numFmtId="0" fontId="65" fillId="0" borderId="0" xfId="0" applyFont="1" applyFill="1" applyBorder="1" applyAlignment="1">
      <alignment vertical="center"/>
    </xf>
    <xf numFmtId="3" fontId="30" fillId="0" borderId="0" xfId="0" applyNumberFormat="1" applyFont="1" applyFill="1" applyBorder="1" applyAlignment="1"/>
    <xf numFmtId="0" fontId="65" fillId="0" borderId="0" xfId="0" applyFont="1" applyFill="1"/>
    <xf numFmtId="0" fontId="65" fillId="51" borderId="0" xfId="0" applyFont="1" applyFill="1"/>
    <xf numFmtId="0" fontId="34" fillId="0" borderId="0" xfId="0" applyFont="1" applyFill="1" applyBorder="1" applyAlignment="1">
      <alignment vertical="center" wrapText="1"/>
    </xf>
    <xf numFmtId="166" fontId="30" fillId="0" borderId="32" xfId="0" applyNumberFormat="1" applyFont="1" applyBorder="1" applyAlignment="1">
      <alignment horizontal="center" vertical="center" wrapText="1"/>
    </xf>
    <xf numFmtId="1" fontId="30" fillId="0" borderId="11" xfId="0" applyNumberFormat="1" applyFont="1" applyBorder="1" applyAlignment="1">
      <alignment horizontal="center" vertical="center" wrapText="1"/>
    </xf>
    <xf numFmtId="166" fontId="30" fillId="0" borderId="30" xfId="0" applyNumberFormat="1" applyFont="1" applyBorder="1" applyAlignment="1">
      <alignment horizontal="center" vertical="center" wrapText="1"/>
    </xf>
    <xf numFmtId="1" fontId="65" fillId="0" borderId="0" xfId="0" applyNumberFormat="1" applyFont="1"/>
    <xf numFmtId="0" fontId="34" fillId="0" borderId="26" xfId="0" applyFont="1" applyBorder="1" applyAlignment="1">
      <alignment vertical="center"/>
    </xf>
    <xf numFmtId="0" fontId="34" fillId="0" borderId="18" xfId="0" applyFont="1" applyBorder="1" applyAlignment="1">
      <alignment vertical="center"/>
    </xf>
    <xf numFmtId="0" fontId="34" fillId="0" borderId="28" xfId="0" applyFont="1" applyBorder="1" applyAlignment="1">
      <alignment vertical="center"/>
    </xf>
    <xf numFmtId="0" fontId="34" fillId="0" borderId="10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1" fontId="65" fillId="51" borderId="0" xfId="0" applyNumberFormat="1" applyFont="1" applyFill="1"/>
    <xf numFmtId="166" fontId="65" fillId="0" borderId="30" xfId="0" applyNumberFormat="1" applyFont="1" applyBorder="1" applyAlignment="1">
      <alignment horizontal="center"/>
    </xf>
    <xf numFmtId="0" fontId="65" fillId="49" borderId="0" xfId="0" applyFont="1" applyFill="1" applyAlignment="1">
      <alignment vertical="center"/>
    </xf>
    <xf numFmtId="0" fontId="32" fillId="0" borderId="0" xfId="0" applyFont="1" applyBorder="1"/>
    <xf numFmtId="0" fontId="29" fillId="0" borderId="0" xfId="305" applyFont="1" applyFill="1" applyBorder="1" applyAlignment="1">
      <alignment horizontal="center" vertical="center"/>
    </xf>
    <xf numFmtId="0" fontId="29" fillId="47" borderId="20" xfId="0" applyFont="1" applyFill="1" applyBorder="1" applyAlignment="1">
      <alignment horizontal="center" vertical="center"/>
    </xf>
    <xf numFmtId="0" fontId="29" fillId="47" borderId="20" xfId="0" applyFont="1" applyFill="1" applyBorder="1" applyAlignment="1">
      <alignment horizontal="center" vertical="center" wrapText="1"/>
    </xf>
    <xf numFmtId="0" fontId="30" fillId="0" borderId="0" xfId="305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1" fontId="3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16" xfId="0" applyFont="1" applyBorder="1"/>
    <xf numFmtId="0" fontId="0" fillId="0" borderId="16" xfId="0" applyBorder="1" applyAlignment="1"/>
    <xf numFmtId="0" fontId="65" fillId="0" borderId="16" xfId="0" applyFont="1" applyBorder="1" applyAlignment="1">
      <alignment vertical="center" wrapText="1"/>
    </xf>
    <xf numFmtId="0" fontId="30" fillId="0" borderId="16" xfId="0" applyFont="1" applyBorder="1" applyAlignment="1">
      <alignment vertical="center" wrapText="1"/>
    </xf>
    <xf numFmtId="0" fontId="30" fillId="0" borderId="16" xfId="0" applyFont="1" applyBorder="1" applyAlignment="1">
      <alignment vertical="center"/>
    </xf>
    <xf numFmtId="1" fontId="30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Border="1"/>
    <xf numFmtId="0" fontId="48" fillId="0" borderId="0" xfId="0" applyFont="1" applyBorder="1"/>
    <xf numFmtId="0" fontId="34" fillId="0" borderId="0" xfId="0" applyFont="1" applyFill="1" applyBorder="1" applyAlignment="1">
      <alignment horizontal="center" vertical="center"/>
    </xf>
    <xf numFmtId="0" fontId="29" fillId="47" borderId="15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 wrapText="1"/>
    </xf>
    <xf numFmtId="0" fontId="29" fillId="0" borderId="21" xfId="0" applyFont="1" applyFill="1" applyBorder="1" applyAlignment="1">
      <alignment vertical="center"/>
    </xf>
    <xf numFmtId="0" fontId="34" fillId="0" borderId="32" xfId="0" applyFont="1" applyFill="1" applyBorder="1" applyAlignment="1">
      <alignment horizontal="center" vertical="center"/>
    </xf>
    <xf numFmtId="1" fontId="65" fillId="51" borderId="0" xfId="0" applyNumberFormat="1" applyFont="1" applyFill="1" applyAlignment="1">
      <alignment horizontal="center" vertical="center"/>
    </xf>
    <xf numFmtId="1" fontId="65" fillId="51" borderId="0" xfId="0" applyNumberFormat="1" applyFont="1" applyFill="1" applyBorder="1" applyAlignment="1">
      <alignment horizontal="center" vertical="center"/>
    </xf>
    <xf numFmtId="1" fontId="65" fillId="51" borderId="0" xfId="0" applyNumberFormat="1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vertical="center"/>
    </xf>
    <xf numFmtId="1" fontId="65" fillId="51" borderId="0" xfId="0" applyNumberFormat="1" applyFont="1" applyFill="1" applyBorder="1"/>
    <xf numFmtId="1" fontId="65" fillId="51" borderId="0" xfId="0" applyNumberFormat="1" applyFont="1" applyFill="1" applyBorder="1" applyAlignment="1">
      <alignment vertical="center" wrapText="1"/>
    </xf>
    <xf numFmtId="0" fontId="29" fillId="0" borderId="25" xfId="0" applyFont="1" applyFill="1" applyBorder="1" applyAlignment="1">
      <alignment vertical="center"/>
    </xf>
    <xf numFmtId="0" fontId="65" fillId="0" borderId="75" xfId="0" applyFont="1" applyFill="1" applyBorder="1" applyAlignment="1">
      <alignment vertical="center" wrapText="1"/>
    </xf>
    <xf numFmtId="0" fontId="65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8" fillId="0" borderId="0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166" fontId="30" fillId="0" borderId="11" xfId="0" applyNumberFormat="1" applyFont="1" applyBorder="1" applyAlignment="1">
      <alignment horizontal="center" vertical="center" wrapText="1"/>
    </xf>
    <xf numFmtId="166" fontId="30" fillId="0" borderId="13" xfId="0" applyNumberFormat="1" applyFont="1" applyBorder="1" applyAlignment="1">
      <alignment horizontal="center" vertical="center" wrapText="1"/>
    </xf>
    <xf numFmtId="166" fontId="30" fillId="0" borderId="11" xfId="0" applyNumberFormat="1" applyFont="1" applyFill="1" applyBorder="1" applyAlignment="1">
      <alignment horizontal="center" vertical="center" wrapText="1"/>
    </xf>
    <xf numFmtId="0" fontId="105" fillId="0" borderId="0" xfId="0" applyFont="1" applyFill="1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105" fillId="0" borderId="0" xfId="0" applyFont="1" applyFill="1" applyBorder="1" applyAlignment="1">
      <alignment vertical="center" wrapText="1"/>
    </xf>
    <xf numFmtId="2" fontId="34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1" fontId="34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0" applyFont="1" applyBorder="1" applyAlignment="1" applyProtection="1">
      <alignment vertical="center"/>
      <protection hidden="1"/>
    </xf>
    <xf numFmtId="0" fontId="32" fillId="0" borderId="0" xfId="0" applyFont="1" applyFill="1"/>
    <xf numFmtId="0" fontId="0" fillId="0" borderId="0" xfId="0" applyFill="1"/>
    <xf numFmtId="0" fontId="29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 wrapText="1"/>
    </xf>
    <xf numFmtId="0" fontId="34" fillId="0" borderId="34" xfId="0" applyFont="1" applyFill="1" applyBorder="1" applyAlignment="1">
      <alignment horizontal="left" vertical="center" indent="1"/>
    </xf>
    <xf numFmtId="0" fontId="34" fillId="0" borderId="30" xfId="0" applyFont="1" applyFill="1" applyBorder="1" applyAlignment="1">
      <alignment horizontal="left" vertical="center" indent="1"/>
    </xf>
    <xf numFmtId="0" fontId="34" fillId="0" borderId="11" xfId="0" applyFont="1" applyFill="1" applyBorder="1" applyAlignment="1">
      <alignment horizontal="left" vertical="center" indent="1"/>
    </xf>
    <xf numFmtId="0" fontId="34" fillId="0" borderId="12" xfId="0" applyFont="1" applyFill="1" applyBorder="1" applyAlignment="1">
      <alignment horizontal="left" vertical="center" indent="1"/>
    </xf>
    <xf numFmtId="0" fontId="34" fillId="0" borderId="13" xfId="0" applyFont="1" applyFill="1" applyBorder="1" applyAlignment="1">
      <alignment horizontal="left" vertical="center" indent="1"/>
    </xf>
    <xf numFmtId="0" fontId="34" fillId="0" borderId="10" xfId="0" applyFont="1" applyBorder="1" applyAlignment="1">
      <alignment horizontal="left" vertical="center" wrapText="1" indent="1"/>
    </xf>
    <xf numFmtId="0" fontId="34" fillId="0" borderId="12" xfId="0" applyFont="1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29" fillId="47" borderId="10" xfId="305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65" fillId="0" borderId="0" xfId="0" applyFont="1" applyFill="1" applyAlignment="1">
      <alignment vertical="center"/>
    </xf>
    <xf numFmtId="0" fontId="34" fillId="0" borderId="38" xfId="0" applyFont="1" applyFill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0" fontId="29" fillId="57" borderId="19" xfId="0" applyFont="1" applyFill="1" applyBorder="1" applyAlignment="1">
      <alignment vertical="center" wrapText="1"/>
    </xf>
    <xf numFmtId="0" fontId="30" fillId="57" borderId="19" xfId="0" applyFont="1" applyFill="1" applyBorder="1" applyAlignment="1">
      <alignment vertical="center" wrapText="1"/>
    </xf>
    <xf numFmtId="0" fontId="34" fillId="0" borderId="19" xfId="0" applyFont="1" applyBorder="1" applyAlignment="1">
      <alignment horizontal="center" vertical="center" wrapText="1"/>
    </xf>
    <xf numFmtId="0" fontId="29" fillId="47" borderId="26" xfId="305" applyFont="1" applyFill="1" applyBorder="1" applyAlignment="1">
      <alignment vertical="center"/>
    </xf>
    <xf numFmtId="0" fontId="29" fillId="47" borderId="18" xfId="305" applyFont="1" applyFill="1" applyBorder="1" applyAlignment="1">
      <alignment vertical="center"/>
    </xf>
    <xf numFmtId="0" fontId="29" fillId="47" borderId="28" xfId="305" applyFont="1" applyFill="1" applyBorder="1" applyAlignment="1">
      <alignment vertical="center"/>
    </xf>
    <xf numFmtId="3" fontId="30" fillId="0" borderId="17" xfId="0" applyNumberFormat="1" applyFont="1" applyFill="1" applyBorder="1" applyAlignment="1">
      <alignment horizontal="center" vertical="center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1" fontId="34" fillId="0" borderId="13" xfId="0" applyNumberFormat="1" applyFont="1" applyBorder="1" applyAlignment="1" applyProtection="1">
      <alignment horizontal="center" vertical="center" wrapText="1"/>
      <protection hidden="1"/>
    </xf>
    <xf numFmtId="2" fontId="30" fillId="0" borderId="17" xfId="0" applyNumberFormat="1" applyFont="1" applyBorder="1" applyAlignment="1" applyProtection="1">
      <alignment horizontal="center" vertical="center" wrapText="1"/>
      <protection hidden="1"/>
    </xf>
    <xf numFmtId="1" fontId="59" fillId="49" borderId="0" xfId="0" applyNumberFormat="1" applyFont="1" applyFill="1" applyAlignment="1">
      <alignment horizontal="center" vertical="center"/>
    </xf>
    <xf numFmtId="1" fontId="30" fillId="0" borderId="0" xfId="0" applyNumberFormat="1" applyFont="1"/>
    <xf numFmtId="1" fontId="30" fillId="51" borderId="0" xfId="0" applyNumberFormat="1" applyFont="1" applyFill="1" applyBorder="1" applyAlignment="1" applyProtection="1">
      <alignment horizontal="center" vertical="center" wrapText="1"/>
      <protection hidden="1"/>
    </xf>
    <xf numFmtId="1" fontId="59" fillId="51" borderId="23" xfId="0" applyNumberFormat="1" applyFont="1" applyFill="1" applyBorder="1" applyAlignment="1">
      <alignment horizontal="center"/>
    </xf>
    <xf numFmtId="1" fontId="57" fillId="51" borderId="23" xfId="0" applyNumberFormat="1" applyFont="1" applyFill="1" applyBorder="1" applyAlignment="1" applyProtection="1">
      <alignment horizontal="center" vertical="center"/>
      <protection hidden="1"/>
    </xf>
    <xf numFmtId="1" fontId="59" fillId="49" borderId="23" xfId="0" applyNumberFormat="1" applyFont="1" applyFill="1" applyBorder="1"/>
    <xf numFmtId="1" fontId="59" fillId="49" borderId="0" xfId="0" applyNumberFormat="1" applyFont="1" applyFill="1"/>
    <xf numFmtId="1" fontId="81" fillId="53" borderId="0" xfId="0" applyNumberFormat="1" applyFont="1" applyFill="1" applyAlignment="1">
      <alignment horizontal="center" vertical="center"/>
    </xf>
    <xf numFmtId="1" fontId="32" fillId="0" borderId="0" xfId="0" applyNumberFormat="1" applyFont="1" applyAlignment="1">
      <alignment horizontal="center"/>
    </xf>
    <xf numFmtId="1" fontId="81" fillId="53" borderId="0" xfId="0" applyNumberFormat="1" applyFont="1" applyFill="1" applyBorder="1" applyAlignment="1">
      <alignment horizontal="center" vertical="center"/>
    </xf>
    <xf numFmtId="1" fontId="27" fillId="0" borderId="0" xfId="0" applyNumberFormat="1" applyFont="1"/>
    <xf numFmtId="1" fontId="68" fillId="49" borderId="0" xfId="334" applyNumberFormat="1" applyFont="1" applyFill="1"/>
    <xf numFmtId="0" fontId="34" fillId="51" borderId="11" xfId="0" applyNumberFormat="1" applyFont="1" applyFill="1" applyBorder="1" applyAlignment="1">
      <alignment horizontal="center" vertical="center"/>
    </xf>
    <xf numFmtId="0" fontId="34" fillId="51" borderId="12" xfId="0" applyNumberFormat="1" applyFont="1" applyFill="1" applyBorder="1" applyAlignment="1">
      <alignment horizontal="center" vertical="center"/>
    </xf>
    <xf numFmtId="0" fontId="34" fillId="51" borderId="13" xfId="0" applyNumberFormat="1" applyFont="1" applyFill="1" applyBorder="1" applyAlignment="1">
      <alignment horizontal="center" vertical="center"/>
    </xf>
    <xf numFmtId="1" fontId="30" fillId="0" borderId="0" xfId="0" applyNumberFormat="1" applyFont="1" applyAlignment="1">
      <alignment vertical="center"/>
    </xf>
    <xf numFmtId="0" fontId="30" fillId="51" borderId="10" xfId="0" applyNumberFormat="1" applyFont="1" applyFill="1" applyBorder="1" applyAlignment="1">
      <alignment horizontal="center" vertical="center"/>
    </xf>
    <xf numFmtId="1" fontId="30" fillId="51" borderId="0" xfId="0" applyNumberFormat="1" applyFont="1" applyFill="1"/>
    <xf numFmtId="1" fontId="30" fillId="51" borderId="0" xfId="0" applyNumberFormat="1" applyFont="1" applyFill="1" applyAlignment="1">
      <alignment vertical="center"/>
    </xf>
    <xf numFmtId="1" fontId="30" fillId="51" borderId="0" xfId="0" applyNumberFormat="1" applyFont="1" applyFill="1" applyBorder="1"/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1" fontId="65" fillId="0" borderId="0" xfId="0" applyNumberFormat="1" applyFont="1" applyFill="1" applyBorder="1"/>
    <xf numFmtId="1" fontId="65" fillId="49" borderId="0" xfId="0" applyNumberFormat="1" applyFont="1" applyFill="1"/>
    <xf numFmtId="1" fontId="65" fillId="49" borderId="0" xfId="0" applyNumberFormat="1" applyFont="1" applyFill="1" applyBorder="1"/>
    <xf numFmtId="1" fontId="0" fillId="0" borderId="0" xfId="0" applyNumberFormat="1" applyFill="1" applyBorder="1"/>
    <xf numFmtId="1" fontId="65" fillId="49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106" fillId="0" borderId="30" xfId="0" applyNumberFormat="1" applyFont="1" applyBorder="1" applyAlignment="1">
      <alignment horizontal="center" vertical="center"/>
    </xf>
    <xf numFmtId="1" fontId="106" fillId="0" borderId="34" xfId="0" applyNumberFormat="1" applyFont="1" applyBorder="1" applyAlignment="1">
      <alignment horizontal="center" vertical="center"/>
    </xf>
    <xf numFmtId="1" fontId="34" fillId="0" borderId="34" xfId="0" applyNumberFormat="1" applyFont="1" applyBorder="1" applyAlignment="1">
      <alignment horizontal="center" vertical="center"/>
    </xf>
    <xf numFmtId="1" fontId="34" fillId="0" borderId="32" xfId="0" applyNumberFormat="1" applyFont="1" applyFill="1" applyBorder="1" applyAlignment="1">
      <alignment horizontal="center" vertical="center"/>
    </xf>
    <xf numFmtId="1" fontId="34" fillId="0" borderId="32" xfId="0" applyNumberFormat="1" applyFont="1" applyFill="1" applyBorder="1" applyAlignment="1">
      <alignment horizontal="left" vertical="center" indent="1"/>
    </xf>
    <xf numFmtId="1" fontId="34" fillId="0" borderId="13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0" borderId="12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left" vertical="center" indent="1"/>
    </xf>
    <xf numFmtId="1" fontId="34" fillId="0" borderId="34" xfId="0" applyNumberFormat="1" applyFont="1" applyFill="1" applyBorder="1" applyAlignment="1">
      <alignment horizontal="center" vertical="center"/>
    </xf>
    <xf numFmtId="1" fontId="34" fillId="0" borderId="30" xfId="0" applyNumberFormat="1" applyFont="1" applyFill="1" applyBorder="1" applyAlignment="1">
      <alignment horizontal="center" vertical="center"/>
    </xf>
    <xf numFmtId="1" fontId="34" fillId="0" borderId="10" xfId="0" applyNumberFormat="1" applyFont="1" applyBorder="1" applyAlignment="1">
      <alignment horizontal="left" vertical="center" wrapText="1" indent="1"/>
    </xf>
    <xf numFmtId="1" fontId="34" fillId="0" borderId="26" xfId="0" applyNumberFormat="1" applyFont="1" applyBorder="1" applyAlignment="1">
      <alignment horizontal="left" vertical="center" wrapText="1" indent="1"/>
    </xf>
    <xf numFmtId="1" fontId="57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left" wrapText="1"/>
      <protection hidden="1"/>
    </xf>
    <xf numFmtId="9" fontId="41" fillId="0" borderId="26" xfId="373" applyFont="1" applyBorder="1" applyAlignment="1">
      <alignment horizontal="center" vertical="center"/>
    </xf>
    <xf numFmtId="9" fontId="41" fillId="0" borderId="18" xfId="373" applyFont="1" applyBorder="1" applyAlignment="1">
      <alignment horizontal="center" vertical="center"/>
    </xf>
    <xf numFmtId="9" fontId="41" fillId="0" borderId="28" xfId="373" applyFont="1" applyBorder="1" applyAlignment="1">
      <alignment horizontal="center" vertical="center"/>
    </xf>
    <xf numFmtId="0" fontId="29" fillId="0" borderId="17" xfId="0" applyFont="1" applyFill="1" applyBorder="1" applyAlignment="1" applyProtection="1">
      <alignment horizontal="center" vertical="center" wrapText="1"/>
      <protection hidden="1"/>
    </xf>
    <xf numFmtId="0" fontId="29" fillId="0" borderId="20" xfId="0" applyFont="1" applyFill="1" applyBorder="1" applyAlignment="1" applyProtection="1">
      <alignment horizontal="center" vertical="center" wrapText="1"/>
      <protection hidden="1"/>
    </xf>
    <xf numFmtId="0" fontId="29" fillId="0" borderId="15" xfId="0" applyFont="1" applyFill="1" applyBorder="1" applyAlignment="1" applyProtection="1">
      <alignment horizontal="center" vertical="center" wrapText="1"/>
      <protection hidden="1"/>
    </xf>
    <xf numFmtId="0" fontId="83" fillId="54" borderId="0" xfId="0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 vertical="center" wrapText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65" fillId="0" borderId="0" xfId="0" applyFont="1" applyBorder="1" applyAlignment="1">
      <alignment horizontal="center" vertical="center"/>
    </xf>
    <xf numFmtId="3" fontId="53" fillId="0" borderId="0" xfId="0" applyNumberFormat="1" applyFont="1" applyFill="1" applyBorder="1" applyAlignment="1" applyProtection="1">
      <alignment horizontal="center" vertical="center"/>
      <protection hidden="1"/>
    </xf>
    <xf numFmtId="0" fontId="36" fillId="0" borderId="16" xfId="356" applyFont="1" applyBorder="1" applyAlignment="1" applyProtection="1">
      <alignment horizontal="center" vertical="center"/>
      <protection hidden="1"/>
    </xf>
    <xf numFmtId="0" fontId="29" fillId="47" borderId="10" xfId="0" applyFont="1" applyFill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center" vertical="center" wrapText="1"/>
      <protection hidden="1"/>
    </xf>
    <xf numFmtId="0" fontId="29" fillId="0" borderId="15" xfId="0" applyFont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0" borderId="20" xfId="0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20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Fill="1" applyBorder="1" applyAlignment="1" applyProtection="1">
      <alignment horizontal="center" vertical="center" wrapText="1"/>
      <protection hidden="1"/>
    </xf>
    <xf numFmtId="14" fontId="30" fillId="0" borderId="16" xfId="0" applyNumberFormat="1" applyFont="1" applyBorder="1" applyAlignment="1">
      <alignment horizontal="left"/>
    </xf>
    <xf numFmtId="3" fontId="53" fillId="0" borderId="17" xfId="0" applyNumberFormat="1" applyFont="1" applyFill="1" applyBorder="1" applyAlignment="1" applyProtection="1">
      <alignment horizontal="center" vertical="center"/>
      <protection hidden="1"/>
    </xf>
    <xf numFmtId="3" fontId="53" fillId="0" borderId="20" xfId="0" applyNumberFormat="1" applyFont="1" applyFill="1" applyBorder="1" applyAlignment="1" applyProtection="1">
      <alignment horizontal="center" vertical="center"/>
      <protection hidden="1"/>
    </xf>
    <xf numFmtId="3" fontId="53" fillId="0" borderId="15" xfId="0" applyNumberFormat="1" applyFont="1" applyFill="1" applyBorder="1" applyAlignment="1" applyProtection="1">
      <alignment horizontal="center" vertical="center"/>
      <protection hidden="1"/>
    </xf>
    <xf numFmtId="0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29" fillId="46" borderId="21" xfId="0" applyFont="1" applyFill="1" applyBorder="1" applyAlignment="1" applyProtection="1">
      <alignment horizontal="center" vertical="center" wrapText="1"/>
      <protection hidden="1"/>
    </xf>
    <xf numFmtId="0" fontId="29" fillId="46" borderId="19" xfId="0" applyFont="1" applyFill="1" applyBorder="1" applyAlignment="1" applyProtection="1">
      <alignment horizontal="center" vertical="center" wrapText="1"/>
      <protection hidden="1"/>
    </xf>
    <xf numFmtId="0" fontId="29" fillId="46" borderId="22" xfId="0" applyFont="1" applyFill="1" applyBorder="1" applyAlignment="1" applyProtection="1">
      <alignment horizontal="center" vertical="center" wrapText="1"/>
      <protection hidden="1"/>
    </xf>
    <xf numFmtId="0" fontId="29" fillId="46" borderId="23" xfId="0" applyFont="1" applyFill="1" applyBorder="1" applyAlignment="1" applyProtection="1">
      <alignment horizontal="center" vertical="center" wrapText="1"/>
      <protection hidden="1"/>
    </xf>
    <xf numFmtId="0" fontId="29" fillId="46" borderId="0" xfId="0" applyFont="1" applyFill="1" applyBorder="1" applyAlignment="1" applyProtection="1">
      <alignment horizontal="center" vertical="center" wrapText="1"/>
      <protection hidden="1"/>
    </xf>
    <xf numFmtId="0" fontId="29" fillId="46" borderId="24" xfId="0" applyFont="1" applyFill="1" applyBorder="1" applyAlignment="1" applyProtection="1">
      <alignment horizontal="center" vertical="center" wrapText="1"/>
      <protection hidden="1"/>
    </xf>
    <xf numFmtId="0" fontId="29" fillId="46" borderId="25" xfId="0" applyFont="1" applyFill="1" applyBorder="1" applyAlignment="1" applyProtection="1">
      <alignment horizontal="center" vertical="center" wrapText="1"/>
      <protection hidden="1"/>
    </xf>
    <xf numFmtId="0" fontId="29" fillId="46" borderId="16" xfId="0" applyFont="1" applyFill="1" applyBorder="1" applyAlignment="1" applyProtection="1">
      <alignment horizontal="center" vertical="center" wrapText="1"/>
      <protection hidden="1"/>
    </xf>
    <xf numFmtId="0" fontId="29" fillId="46" borderId="35" xfId="0" applyFont="1" applyFill="1" applyBorder="1" applyAlignment="1" applyProtection="1">
      <alignment horizontal="center" vertical="center" wrapText="1"/>
      <protection hidden="1"/>
    </xf>
    <xf numFmtId="0" fontId="30" fillId="0" borderId="17" xfId="0" applyFont="1" applyBorder="1" applyAlignment="1" applyProtection="1">
      <alignment horizontal="center" vertical="center" wrapText="1"/>
      <protection hidden="1"/>
    </xf>
    <xf numFmtId="0" fontId="30" fillId="0" borderId="20" xfId="0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Alignment="1" applyProtection="1">
      <alignment horizontal="center" vertical="center" wrapText="1"/>
      <protection hidden="1"/>
    </xf>
    <xf numFmtId="2" fontId="30" fillId="0" borderId="17" xfId="0" applyNumberFormat="1" applyFont="1" applyFill="1" applyBorder="1" applyAlignment="1" applyProtection="1">
      <alignment horizontal="center" vertical="center"/>
      <protection hidden="1"/>
    </xf>
    <xf numFmtId="2" fontId="30" fillId="0" borderId="20" xfId="0" applyNumberFormat="1" applyFont="1" applyFill="1" applyBorder="1" applyAlignment="1" applyProtection="1">
      <alignment horizontal="center" vertical="center"/>
      <protection hidden="1"/>
    </xf>
    <xf numFmtId="2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0" borderId="24" xfId="0" applyFont="1" applyBorder="1" applyAlignment="1" applyProtection="1">
      <alignment horizontal="center" vertical="center" wrapText="1"/>
      <protection hidden="1"/>
    </xf>
    <xf numFmtId="0" fontId="30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33" fillId="0" borderId="0" xfId="0" applyFont="1" applyBorder="1" applyAlignment="1">
      <alignment horizontal="left" vertical="center" wrapText="1"/>
    </xf>
    <xf numFmtId="0" fontId="83" fillId="54" borderId="19" xfId="0" applyFont="1" applyFill="1" applyBorder="1" applyAlignment="1">
      <alignment horizontal="center" vertical="center"/>
    </xf>
    <xf numFmtId="0" fontId="81" fillId="0" borderId="26" xfId="0" applyFont="1" applyBorder="1" applyAlignment="1" applyProtection="1">
      <alignment horizontal="center" vertical="center" wrapText="1"/>
      <protection hidden="1"/>
    </xf>
    <xf numFmtId="0" fontId="81" fillId="0" borderId="28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3" fillId="0" borderId="17" xfId="0" applyFont="1" applyFill="1" applyBorder="1" applyAlignment="1" applyProtection="1">
      <alignment horizontal="center" vertical="center" wrapText="1"/>
      <protection hidden="1"/>
    </xf>
    <xf numFmtId="0" fontId="33" fillId="0" borderId="20" xfId="0" applyFont="1" applyFill="1" applyBorder="1" applyAlignment="1" applyProtection="1">
      <alignment horizontal="center" vertical="center" wrapText="1"/>
      <protection hidden="1"/>
    </xf>
    <xf numFmtId="0" fontId="82" fillId="0" borderId="20" xfId="0" applyFont="1" applyFill="1" applyBorder="1" applyAlignment="1" applyProtection="1">
      <alignment horizontal="left" vertical="top" wrapText="1"/>
      <protection hidden="1"/>
    </xf>
    <xf numFmtId="0" fontId="82" fillId="0" borderId="15" xfId="0" applyFont="1" applyFill="1" applyBorder="1" applyAlignment="1" applyProtection="1">
      <alignment horizontal="left" vertical="top" wrapText="1"/>
      <protection hidden="1"/>
    </xf>
    <xf numFmtId="3" fontId="57" fillId="0" borderId="17" xfId="0" applyNumberFormat="1" applyFont="1" applyFill="1" applyBorder="1" applyAlignment="1" applyProtection="1">
      <alignment horizontal="center" vertical="center"/>
      <protection hidden="1"/>
    </xf>
    <xf numFmtId="3" fontId="57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0" borderId="10" xfId="0" applyFont="1" applyBorder="1" applyAlignment="1" applyProtection="1">
      <alignment horizontal="left" vertical="center" wrapText="1"/>
      <protection hidden="1"/>
    </xf>
    <xf numFmtId="0" fontId="29" fillId="46" borderId="26" xfId="0" applyFont="1" applyFill="1" applyBorder="1" applyAlignment="1" applyProtection="1">
      <alignment horizontal="left" vertical="center" wrapText="1"/>
      <protection hidden="1"/>
    </xf>
    <xf numFmtId="0" fontId="29" fillId="46" borderId="28" xfId="0" applyFont="1" applyFill="1" applyBorder="1" applyAlignment="1" applyProtection="1">
      <alignment horizontal="left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29" fillId="46" borderId="10" xfId="0" applyFont="1" applyFill="1" applyBorder="1" applyAlignment="1" applyProtection="1">
      <alignment horizontal="left" vertical="center" wrapText="1"/>
      <protection hidden="1"/>
    </xf>
    <xf numFmtId="0" fontId="29" fillId="0" borderId="14" xfId="0" applyFont="1" applyFill="1" applyBorder="1" applyAlignment="1" applyProtection="1">
      <alignment horizontal="center" vertical="center" wrapText="1"/>
      <protection hidden="1"/>
    </xf>
    <xf numFmtId="0" fontId="29" fillId="0" borderId="27" xfId="0" applyFont="1" applyFill="1" applyBorder="1" applyAlignment="1" applyProtection="1">
      <alignment horizontal="center" vertical="center" wrapText="1"/>
      <protection hidden="1"/>
    </xf>
    <xf numFmtId="0" fontId="29" fillId="0" borderId="11" xfId="0" applyFont="1" applyBorder="1" applyAlignment="1" applyProtection="1">
      <alignment horizontal="center" vertical="center" wrapText="1"/>
      <protection hidden="1"/>
    </xf>
    <xf numFmtId="0" fontId="29" fillId="0" borderId="14" xfId="0" applyFont="1" applyBorder="1" applyAlignment="1" applyProtection="1">
      <alignment horizontal="center" vertical="center" wrapText="1"/>
      <protection hidden="1"/>
    </xf>
    <xf numFmtId="0" fontId="29" fillId="0" borderId="12" xfId="0" applyFont="1" applyBorder="1" applyAlignment="1" applyProtection="1">
      <alignment horizontal="center" vertical="center" wrapText="1"/>
      <protection hidden="1"/>
    </xf>
    <xf numFmtId="0" fontId="29" fillId="0" borderId="27" xfId="0" applyFont="1" applyBorder="1" applyAlignment="1" applyProtection="1">
      <alignment horizontal="center" vertical="center" wrapText="1"/>
      <protection hidden="1"/>
    </xf>
    <xf numFmtId="0" fontId="81" fillId="0" borderId="21" xfId="0" applyFont="1" applyBorder="1" applyAlignment="1" applyProtection="1">
      <alignment horizontal="center" vertical="center" wrapText="1"/>
      <protection hidden="1"/>
    </xf>
    <xf numFmtId="0" fontId="81" fillId="0" borderId="22" xfId="0" applyFont="1" applyBorder="1" applyAlignment="1" applyProtection="1">
      <alignment horizontal="center" vertical="center" wrapText="1"/>
      <protection hidden="1"/>
    </xf>
    <xf numFmtId="0" fontId="81" fillId="0" borderId="25" xfId="0" applyFont="1" applyBorder="1" applyAlignment="1" applyProtection="1">
      <alignment horizontal="center" vertical="center" wrapText="1"/>
      <protection hidden="1"/>
    </xf>
    <xf numFmtId="0" fontId="81" fillId="0" borderId="35" xfId="0" applyFont="1" applyBorder="1" applyAlignment="1" applyProtection="1">
      <alignment horizontal="center" vertical="center" wrapText="1"/>
      <protection hidden="1"/>
    </xf>
    <xf numFmtId="0" fontId="29" fillId="0" borderId="11" xfId="0" applyFont="1" applyFill="1" applyBorder="1" applyAlignment="1" applyProtection="1">
      <alignment horizontal="center" vertical="center" wrapText="1"/>
      <protection hidden="1"/>
    </xf>
    <xf numFmtId="0" fontId="29" fillId="0" borderId="13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55" borderId="26" xfId="0" applyFont="1" applyFill="1" applyBorder="1" applyAlignment="1" applyProtection="1">
      <alignment horizontal="center" vertical="center" wrapText="1"/>
      <protection hidden="1"/>
    </xf>
    <xf numFmtId="0" fontId="29" fillId="55" borderId="28" xfId="0" applyFont="1" applyFill="1" applyBorder="1" applyAlignment="1" applyProtection="1">
      <alignment horizontal="center" vertical="center" wrapText="1"/>
      <protection hidden="1"/>
    </xf>
    <xf numFmtId="0" fontId="29" fillId="0" borderId="10" xfId="0" applyFont="1" applyBorder="1" applyAlignment="1" applyProtection="1">
      <alignment horizontal="center" vertical="center" wrapText="1"/>
      <protection hidden="1"/>
    </xf>
    <xf numFmtId="0" fontId="29" fillId="0" borderId="26" xfId="0" applyFont="1" applyBorder="1" applyAlignment="1" applyProtection="1">
      <alignment horizontal="left" vertical="center" wrapText="1"/>
      <protection hidden="1"/>
    </xf>
    <xf numFmtId="0" fontId="29" fillId="0" borderId="28" xfId="0" applyFont="1" applyBorder="1" applyAlignment="1" applyProtection="1">
      <alignment horizontal="left" vertical="center" wrapText="1"/>
      <protection hidden="1"/>
    </xf>
    <xf numFmtId="0" fontId="71" fillId="0" borderId="0" xfId="0" applyFont="1" applyFill="1" applyBorder="1" applyAlignment="1" applyProtection="1">
      <alignment horizontal="left" vertical="center" wrapText="1"/>
      <protection hidden="1"/>
    </xf>
    <xf numFmtId="0" fontId="30" fillId="0" borderId="0" xfId="0" applyFont="1" applyBorder="1" applyAlignment="1" applyProtection="1">
      <alignment horizontal="left" vertical="center" wrapText="1"/>
      <protection hidden="1"/>
    </xf>
    <xf numFmtId="0" fontId="29" fillId="0" borderId="0" xfId="0" applyFont="1" applyBorder="1" applyAlignment="1" applyProtection="1">
      <alignment horizontal="left" vertical="top" wrapText="1"/>
      <protection hidden="1"/>
    </xf>
    <xf numFmtId="0" fontId="71" fillId="0" borderId="0" xfId="0" applyFont="1" applyFill="1" applyBorder="1" applyAlignment="1" applyProtection="1">
      <alignment horizontal="left" vertical="top" wrapText="1"/>
      <protection hidden="1"/>
    </xf>
    <xf numFmtId="0" fontId="30" fillId="0" borderId="17" xfId="0" applyFont="1" applyFill="1" applyBorder="1" applyAlignment="1" applyProtection="1">
      <alignment horizontal="center" vertical="center"/>
      <protection hidden="1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0" fontId="81" fillId="0" borderId="26" xfId="0" applyFont="1" applyFill="1" applyBorder="1" applyAlignment="1" applyProtection="1">
      <alignment horizontal="center" vertical="center" wrapText="1"/>
      <protection hidden="1"/>
    </xf>
    <xf numFmtId="0" fontId="81" fillId="0" borderId="18" xfId="0" applyFont="1" applyFill="1" applyBorder="1" applyAlignment="1" applyProtection="1">
      <alignment horizontal="center" vertical="center"/>
      <protection hidden="1"/>
    </xf>
    <xf numFmtId="0" fontId="81" fillId="0" borderId="28" xfId="0" applyFont="1" applyFill="1" applyBorder="1" applyAlignment="1" applyProtection="1">
      <alignment horizontal="center" vertical="center"/>
      <protection hidden="1"/>
    </xf>
    <xf numFmtId="0" fontId="29" fillId="55" borderId="10" xfId="0" applyFont="1" applyFill="1" applyBorder="1" applyAlignment="1" applyProtection="1">
      <alignment horizontal="center" vertical="center"/>
      <protection hidden="1"/>
    </xf>
    <xf numFmtId="0" fontId="29" fillId="0" borderId="24" xfId="0" applyFont="1" applyBorder="1" applyAlignment="1" applyProtection="1">
      <alignment horizontal="left" vertical="center" wrapText="1"/>
      <protection hidden="1"/>
    </xf>
    <xf numFmtId="0" fontId="29" fillId="0" borderId="0" xfId="0" applyFont="1" applyBorder="1" applyAlignment="1" applyProtection="1">
      <alignment horizontal="left" vertical="center"/>
      <protection hidden="1"/>
    </xf>
    <xf numFmtId="0" fontId="81" fillId="0" borderId="11" xfId="0" applyFont="1" applyFill="1" applyBorder="1" applyAlignment="1" applyProtection="1">
      <alignment horizontal="center" vertical="center"/>
      <protection hidden="1"/>
    </xf>
    <xf numFmtId="0" fontId="81" fillId="0" borderId="12" xfId="0" applyFont="1" applyFill="1" applyBorder="1" applyAlignment="1" applyProtection="1">
      <alignment horizontal="center" vertical="center"/>
      <protection hidden="1"/>
    </xf>
    <xf numFmtId="0" fontId="81" fillId="0" borderId="13" xfId="0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36" fillId="0" borderId="16" xfId="356" applyFont="1" applyBorder="1" applyAlignment="1" applyProtection="1">
      <alignment horizontal="right" vertical="top"/>
      <protection hidden="1"/>
    </xf>
    <xf numFmtId="0" fontId="30" fillId="0" borderId="11" xfId="0" applyFont="1" applyFill="1" applyBorder="1" applyAlignment="1" applyProtection="1">
      <alignment horizontal="center" vertical="center"/>
      <protection hidden="1"/>
    </xf>
    <xf numFmtId="0" fontId="30" fillId="0" borderId="12" xfId="0" applyFont="1" applyFill="1" applyBorder="1" applyAlignment="1" applyProtection="1">
      <alignment horizontal="center" vertical="center"/>
      <protection hidden="1"/>
    </xf>
    <xf numFmtId="0" fontId="30" fillId="0" borderId="13" xfId="0" applyFont="1" applyFill="1" applyBorder="1" applyAlignment="1" applyProtection="1">
      <alignment horizontal="center" vertical="center"/>
      <protection hidden="1"/>
    </xf>
    <xf numFmtId="0" fontId="81" fillId="0" borderId="55" xfId="0" applyFont="1" applyFill="1" applyBorder="1" applyAlignment="1" applyProtection="1">
      <alignment horizontal="center" vertical="center"/>
      <protection hidden="1"/>
    </xf>
    <xf numFmtId="0" fontId="81" fillId="0" borderId="56" xfId="0" applyFont="1" applyFill="1" applyBorder="1" applyAlignment="1" applyProtection="1">
      <alignment horizontal="center" vertical="center"/>
      <protection hidden="1"/>
    </xf>
    <xf numFmtId="0" fontId="81" fillId="0" borderId="57" xfId="0" applyFont="1" applyFill="1" applyBorder="1" applyAlignment="1" applyProtection="1">
      <alignment horizontal="center" vertical="center"/>
      <protection hidden="1"/>
    </xf>
    <xf numFmtId="0" fontId="81" fillId="0" borderId="23" xfId="0" applyFont="1" applyFill="1" applyBorder="1" applyAlignment="1" applyProtection="1">
      <alignment horizontal="center" vertical="center"/>
      <protection hidden="1"/>
    </xf>
    <xf numFmtId="0" fontId="81" fillId="0" borderId="0" xfId="0" applyFont="1" applyFill="1" applyBorder="1" applyAlignment="1" applyProtection="1">
      <alignment horizontal="center" vertical="center"/>
      <protection hidden="1"/>
    </xf>
    <xf numFmtId="0" fontId="81" fillId="0" borderId="24" xfId="0" applyFont="1" applyFill="1" applyBorder="1" applyAlignment="1" applyProtection="1">
      <alignment horizontal="center" vertical="center"/>
      <protection hidden="1"/>
    </xf>
    <xf numFmtId="0" fontId="81" fillId="0" borderId="25" xfId="0" applyFont="1" applyFill="1" applyBorder="1" applyAlignment="1" applyProtection="1">
      <alignment horizontal="center" vertical="center"/>
      <protection hidden="1"/>
    </xf>
    <xf numFmtId="0" fontId="81" fillId="0" borderId="16" xfId="0" applyFont="1" applyFill="1" applyBorder="1" applyAlignment="1" applyProtection="1">
      <alignment horizontal="center" vertical="center"/>
      <protection hidden="1"/>
    </xf>
    <xf numFmtId="0" fontId="81" fillId="0" borderId="35" xfId="0" applyFont="1" applyFill="1" applyBorder="1" applyAlignment="1" applyProtection="1">
      <alignment horizontal="center" vertical="center"/>
      <protection hidden="1"/>
    </xf>
    <xf numFmtId="0" fontId="29" fillId="0" borderId="17" xfId="0" applyFont="1" applyFill="1" applyBorder="1" applyAlignment="1" applyProtection="1">
      <alignment horizontal="left" vertical="center" wrapText="1"/>
      <protection hidden="1"/>
    </xf>
    <xf numFmtId="0" fontId="29" fillId="0" borderId="20" xfId="0" applyFont="1" applyFill="1" applyBorder="1" applyAlignment="1" applyProtection="1">
      <alignment horizontal="left" vertical="center" wrapText="1"/>
      <protection hidden="1"/>
    </xf>
    <xf numFmtId="0" fontId="29" fillId="0" borderId="15" xfId="0" applyFont="1" applyFill="1" applyBorder="1" applyAlignment="1" applyProtection="1">
      <alignment horizontal="left" vertical="center" wrapText="1"/>
      <protection hidden="1"/>
    </xf>
    <xf numFmtId="0" fontId="29" fillId="0" borderId="26" xfId="0" applyFont="1" applyFill="1" applyBorder="1" applyAlignment="1" applyProtection="1">
      <alignment horizontal="left" vertical="center" wrapText="1"/>
      <protection hidden="1"/>
    </xf>
    <xf numFmtId="0" fontId="29" fillId="0" borderId="28" xfId="0" applyFont="1" applyFill="1" applyBorder="1" applyAlignment="1" applyProtection="1">
      <alignment horizontal="left" vertical="center" wrapText="1"/>
      <protection hidden="1"/>
    </xf>
    <xf numFmtId="0" fontId="29" fillId="0" borderId="26" xfId="0" applyFont="1" applyBorder="1" applyAlignment="1" applyProtection="1">
      <alignment horizontal="left" vertical="center"/>
      <protection hidden="1"/>
    </xf>
    <xf numFmtId="0" fontId="29" fillId="0" borderId="28" xfId="0" applyFont="1" applyBorder="1" applyAlignment="1" applyProtection="1">
      <alignment horizontal="left" vertical="center"/>
      <protection hidden="1"/>
    </xf>
    <xf numFmtId="0" fontId="81" fillId="0" borderId="26" xfId="0" applyFont="1" applyFill="1" applyBorder="1" applyAlignment="1" applyProtection="1">
      <alignment horizontal="center" vertical="center"/>
      <protection hidden="1"/>
    </xf>
    <xf numFmtId="0" fontId="29" fillId="0" borderId="17" xfId="0" applyFont="1" applyBorder="1" applyAlignment="1" applyProtection="1">
      <alignment horizontal="left" vertical="center" wrapText="1"/>
      <protection hidden="1"/>
    </xf>
    <xf numFmtId="0" fontId="29" fillId="0" borderId="15" xfId="0" applyFont="1" applyBorder="1" applyAlignment="1" applyProtection="1">
      <alignment horizontal="left" vertical="center" wrapText="1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29" fillId="0" borderId="18" xfId="0" applyFont="1" applyFill="1" applyBorder="1" applyAlignment="1" applyProtection="1">
      <alignment horizontal="left" vertical="center" wrapText="1"/>
      <protection hidden="1"/>
    </xf>
    <xf numFmtId="0" fontId="80" fillId="0" borderId="16" xfId="356" applyFont="1" applyBorder="1" applyAlignment="1" applyProtection="1">
      <alignment horizontal="center" vertical="center" wrapText="1"/>
      <protection hidden="1"/>
    </xf>
    <xf numFmtId="0" fontId="29" fillId="52" borderId="17" xfId="0" applyFont="1" applyFill="1" applyBorder="1" applyAlignment="1" applyProtection="1">
      <alignment horizontal="center" vertical="center" wrapText="1"/>
      <protection hidden="1"/>
    </xf>
    <xf numFmtId="0" fontId="29" fillId="52" borderId="15" xfId="0" applyFont="1" applyFill="1" applyBorder="1" applyAlignment="1" applyProtection="1">
      <alignment horizontal="center" vertical="center" wrapText="1"/>
      <protection hidden="1"/>
    </xf>
    <xf numFmtId="0" fontId="40" fillId="0" borderId="0" xfId="0" applyFont="1" applyFill="1" applyBorder="1" applyAlignment="1" applyProtection="1">
      <alignment horizontal="center" vertical="center" wrapText="1"/>
      <protection hidden="1"/>
    </xf>
    <xf numFmtId="0" fontId="29" fillId="52" borderId="21" xfId="0" applyFont="1" applyFill="1" applyBorder="1" applyAlignment="1" applyProtection="1">
      <alignment horizontal="center" vertical="center"/>
      <protection hidden="1"/>
    </xf>
    <xf numFmtId="0" fontId="29" fillId="52" borderId="22" xfId="0" applyFont="1" applyFill="1" applyBorder="1" applyAlignment="1" applyProtection="1">
      <alignment horizontal="center" vertical="center"/>
      <protection hidden="1"/>
    </xf>
    <xf numFmtId="0" fontId="29" fillId="52" borderId="25" xfId="0" applyFont="1" applyFill="1" applyBorder="1" applyAlignment="1" applyProtection="1">
      <alignment horizontal="center" vertical="center"/>
      <protection hidden="1"/>
    </xf>
    <xf numFmtId="0" fontId="29" fillId="52" borderId="35" xfId="0" applyFont="1" applyFill="1" applyBorder="1" applyAlignment="1" applyProtection="1">
      <alignment horizontal="center" vertical="center"/>
      <protection hidden="1"/>
    </xf>
    <xf numFmtId="0" fontId="29" fillId="52" borderId="10" xfId="0" applyFont="1" applyFill="1" applyBorder="1" applyAlignment="1" applyProtection="1">
      <alignment horizontal="center" vertical="center" wrapText="1"/>
      <protection hidden="1"/>
    </xf>
    <xf numFmtId="0" fontId="65" fillId="0" borderId="10" xfId="0" applyFont="1" applyBorder="1" applyAlignment="1">
      <alignment horizontal="center"/>
    </xf>
    <xf numFmtId="0" fontId="29" fillId="0" borderId="21" xfId="0" applyFont="1" applyFill="1" applyBorder="1" applyAlignment="1" applyProtection="1">
      <alignment horizontal="center" vertical="center" wrapText="1"/>
      <protection hidden="1"/>
    </xf>
    <xf numFmtId="0" fontId="29" fillId="0" borderId="22" xfId="0" applyFont="1" applyFill="1" applyBorder="1" applyAlignment="1" applyProtection="1">
      <alignment horizontal="center" vertical="center" wrapText="1"/>
      <protection hidden="1"/>
    </xf>
    <xf numFmtId="0" fontId="29" fillId="0" borderId="23" xfId="0" applyFont="1" applyFill="1" applyBorder="1" applyAlignment="1" applyProtection="1">
      <alignment horizontal="center" vertical="center" wrapText="1"/>
      <protection hidden="1"/>
    </xf>
    <xf numFmtId="0" fontId="29" fillId="0" borderId="24" xfId="0" applyFont="1" applyFill="1" applyBorder="1" applyAlignment="1" applyProtection="1">
      <alignment horizontal="center" vertical="center" wrapText="1"/>
      <protection hidden="1"/>
    </xf>
    <xf numFmtId="0" fontId="29" fillId="0" borderId="25" xfId="0" applyFont="1" applyFill="1" applyBorder="1" applyAlignment="1" applyProtection="1">
      <alignment horizontal="center" vertical="center" wrapText="1"/>
      <protection hidden="1"/>
    </xf>
    <xf numFmtId="0" fontId="29" fillId="0" borderId="35" xfId="0" applyFont="1" applyFill="1" applyBorder="1" applyAlignment="1" applyProtection="1">
      <alignment horizontal="center" vertical="center" wrapText="1"/>
      <protection hidden="1"/>
    </xf>
    <xf numFmtId="0" fontId="29" fillId="52" borderId="26" xfId="0" applyFont="1" applyFill="1" applyBorder="1" applyAlignment="1" applyProtection="1">
      <alignment horizontal="center" vertical="center" wrapText="1"/>
      <protection hidden="1"/>
    </xf>
    <xf numFmtId="0" fontId="29" fillId="52" borderId="28" xfId="0" applyFont="1" applyFill="1" applyBorder="1" applyAlignment="1" applyProtection="1">
      <alignment horizontal="center" vertical="center" wrapText="1"/>
      <protection hidden="1"/>
    </xf>
    <xf numFmtId="166" fontId="30" fillId="0" borderId="17" xfId="0" applyNumberFormat="1" applyFont="1" applyFill="1" applyBorder="1" applyAlignment="1" applyProtection="1">
      <alignment horizontal="center" vertical="center"/>
      <protection hidden="1"/>
    </xf>
    <xf numFmtId="166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33" fillId="0" borderId="15" xfId="0" applyFont="1" applyFill="1" applyBorder="1" applyAlignment="1" applyProtection="1">
      <alignment horizontal="center" vertical="center" wrapText="1"/>
      <protection hidden="1"/>
    </xf>
    <xf numFmtId="0" fontId="29" fillId="53" borderId="17" xfId="0" applyFont="1" applyFill="1" applyBorder="1" applyAlignment="1" applyProtection="1">
      <alignment horizontal="center" vertical="center" wrapText="1"/>
      <protection hidden="1"/>
    </xf>
    <xf numFmtId="0" fontId="29" fillId="53" borderId="15" xfId="0" applyFont="1" applyFill="1" applyBorder="1" applyAlignment="1" applyProtection="1">
      <alignment horizontal="center" vertical="center" wrapText="1"/>
      <protection hidden="1"/>
    </xf>
    <xf numFmtId="4" fontId="30" fillId="0" borderId="17" xfId="0" applyNumberFormat="1" applyFont="1" applyFill="1" applyBorder="1" applyAlignment="1" applyProtection="1">
      <alignment horizontal="center" vertical="center"/>
      <protection hidden="1"/>
    </xf>
    <xf numFmtId="4" fontId="30" fillId="0" borderId="15" xfId="0" applyNumberFormat="1" applyFont="1" applyFill="1" applyBorder="1" applyAlignment="1" applyProtection="1">
      <alignment horizontal="center" vertical="center"/>
      <protection hidden="1"/>
    </xf>
    <xf numFmtId="3" fontId="34" fillId="0" borderId="10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79" fillId="0" borderId="19" xfId="356" applyFont="1" applyBorder="1" applyAlignment="1" applyProtection="1">
      <alignment horizontal="left" vertical="center" wrapText="1"/>
      <protection hidden="1"/>
    </xf>
    <xf numFmtId="0" fontId="79" fillId="0" borderId="0" xfId="0" applyFont="1" applyBorder="1" applyAlignment="1" applyProtection="1">
      <alignment horizontal="left" vertical="center" wrapText="1"/>
      <protection hidden="1"/>
    </xf>
    <xf numFmtId="0" fontId="79" fillId="0" borderId="61" xfId="0" applyFont="1" applyBorder="1" applyAlignment="1">
      <alignment horizontal="left" vertical="center" wrapText="1"/>
    </xf>
    <xf numFmtId="0" fontId="79" fillId="0" borderId="19" xfId="0" applyFont="1" applyBorder="1" applyAlignment="1" applyProtection="1">
      <alignment horizontal="left" vertical="center" wrapText="1"/>
      <protection hidden="1"/>
    </xf>
    <xf numFmtId="0" fontId="30" fillId="53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53" borderId="15" xfId="0" applyNumberFormat="1" applyFont="1" applyFill="1" applyBorder="1" applyAlignment="1" applyProtection="1">
      <alignment horizontal="center" vertical="center" wrapText="1"/>
      <protection hidden="1"/>
    </xf>
    <xf numFmtId="3" fontId="30" fillId="0" borderId="17" xfId="0" applyNumberFormat="1" applyFont="1" applyFill="1" applyBorder="1" applyAlignment="1" applyProtection="1">
      <alignment horizontal="center" vertical="center"/>
      <protection hidden="1"/>
    </xf>
    <xf numFmtId="3" fontId="30" fillId="0" borderId="20" xfId="0" applyNumberFormat="1" applyFont="1" applyFill="1" applyBorder="1" applyAlignment="1" applyProtection="1">
      <alignment horizontal="center" vertical="center"/>
      <protection hidden="1"/>
    </xf>
    <xf numFmtId="3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29" fillId="46" borderId="26" xfId="0" applyFont="1" applyFill="1" applyBorder="1" applyAlignment="1" applyProtection="1">
      <alignment horizontal="center" vertical="center" wrapText="1"/>
      <protection hidden="1"/>
    </xf>
    <xf numFmtId="0" fontId="29" fillId="46" borderId="28" xfId="0" applyFont="1" applyFill="1" applyBorder="1" applyAlignment="1" applyProtection="1">
      <alignment horizontal="center" vertical="center" wrapText="1"/>
      <protection hidden="1"/>
    </xf>
    <xf numFmtId="0" fontId="29" fillId="0" borderId="58" xfId="0" applyFont="1" applyBorder="1" applyAlignment="1" applyProtection="1">
      <alignment horizontal="left" vertical="center" wrapText="1"/>
      <protection hidden="1"/>
    </xf>
    <xf numFmtId="0" fontId="29" fillId="0" borderId="59" xfId="0" applyFont="1" applyBorder="1" applyAlignment="1" applyProtection="1">
      <alignment horizontal="left" vertical="center" wrapText="1"/>
      <protection hidden="1"/>
    </xf>
    <xf numFmtId="0" fontId="29" fillId="0" borderId="60" xfId="0" applyFont="1" applyBorder="1" applyAlignment="1" applyProtection="1">
      <alignment horizontal="left" vertical="center" wrapText="1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46" borderId="10" xfId="0" applyFont="1" applyFill="1" applyBorder="1" applyAlignment="1" applyProtection="1">
      <alignment horizontal="center" vertical="center" wrapText="1"/>
      <protection hidden="1"/>
    </xf>
    <xf numFmtId="3" fontId="34" fillId="50" borderId="45" xfId="0" applyNumberFormat="1" applyFont="1" applyFill="1" applyBorder="1" applyAlignment="1">
      <alignment horizontal="center" vertical="center" wrapText="1"/>
    </xf>
    <xf numFmtId="3" fontId="34" fillId="50" borderId="44" xfId="0" applyNumberFormat="1" applyFont="1" applyFill="1" applyBorder="1" applyAlignment="1">
      <alignment horizontal="center" vertical="center" wrapText="1"/>
    </xf>
    <xf numFmtId="0" fontId="29" fillId="55" borderId="10" xfId="0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0" fontId="0" fillId="0" borderId="15" xfId="0" applyBorder="1"/>
    <xf numFmtId="0" fontId="33" fillId="0" borderId="17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left" vertical="center" wrapText="1"/>
    </xf>
    <xf numFmtId="0" fontId="0" fillId="0" borderId="19" xfId="0" applyBorder="1"/>
    <xf numFmtId="0" fontId="0" fillId="0" borderId="22" xfId="0" applyBorder="1"/>
    <xf numFmtId="0" fontId="0" fillId="0" borderId="25" xfId="0" applyBorder="1"/>
    <xf numFmtId="0" fontId="0" fillId="0" borderId="16" xfId="0" applyBorder="1"/>
    <xf numFmtId="0" fontId="0" fillId="0" borderId="35" xfId="0" applyBorder="1"/>
    <xf numFmtId="3" fontId="34" fillId="0" borderId="32" xfId="0" applyNumberFormat="1" applyFont="1" applyBorder="1" applyAlignment="1">
      <alignment horizontal="center" vertical="center" wrapText="1"/>
    </xf>
    <xf numFmtId="3" fontId="0" fillId="0" borderId="38" xfId="0" applyNumberFormat="1" applyBorder="1"/>
    <xf numFmtId="3" fontId="0" fillId="0" borderId="46" xfId="0" applyNumberFormat="1" applyBorder="1"/>
    <xf numFmtId="3" fontId="34" fillId="0" borderId="39" xfId="0" applyNumberFormat="1" applyFont="1" applyBorder="1" applyAlignment="1">
      <alignment horizontal="center" vertical="center" wrapText="1"/>
    </xf>
    <xf numFmtId="3" fontId="0" fillId="0" borderId="33" xfId="0" applyNumberFormat="1" applyBorder="1"/>
    <xf numFmtId="3" fontId="34" fillId="0" borderId="30" xfId="0" applyNumberFormat="1" applyFont="1" applyBorder="1" applyAlignment="1">
      <alignment horizontal="center" vertical="center" wrapText="1"/>
    </xf>
    <xf numFmtId="3" fontId="0" fillId="0" borderId="37" xfId="0" applyNumberFormat="1" applyBorder="1"/>
    <xf numFmtId="3" fontId="0" fillId="0" borderId="40" xfId="0" applyNumberFormat="1" applyBorder="1"/>
    <xf numFmtId="3" fontId="34" fillId="0" borderId="36" xfId="0" applyNumberFormat="1" applyFont="1" applyBorder="1" applyAlignment="1">
      <alignment horizontal="center" vertical="center" wrapText="1"/>
    </xf>
    <xf numFmtId="3" fontId="0" fillId="0" borderId="31" xfId="0" applyNumberFormat="1" applyBorder="1"/>
    <xf numFmtId="3" fontId="34" fillId="50" borderId="29" xfId="0" applyNumberFormat="1" applyFont="1" applyFill="1" applyBorder="1" applyAlignment="1">
      <alignment horizontal="center" vertical="center" wrapText="1"/>
    </xf>
    <xf numFmtId="3" fontId="34" fillId="0" borderId="37" xfId="0" applyNumberFormat="1" applyFont="1" applyBorder="1" applyAlignment="1">
      <alignment horizontal="center" vertical="center" wrapText="1"/>
    </xf>
    <xf numFmtId="3" fontId="34" fillId="0" borderId="40" xfId="0" applyNumberFormat="1" applyFont="1" applyBorder="1" applyAlignment="1">
      <alignment horizontal="center" vertical="center" wrapText="1"/>
    </xf>
    <xf numFmtId="3" fontId="34" fillId="0" borderId="31" xfId="0" applyNumberFormat="1" applyFont="1" applyBorder="1" applyAlignment="1">
      <alignment horizontal="center" vertical="center" wrapText="1"/>
    </xf>
    <xf numFmtId="0" fontId="58" fillId="50" borderId="21" xfId="0" applyFont="1" applyFill="1" applyBorder="1" applyAlignment="1">
      <alignment horizontal="center"/>
    </xf>
    <xf numFmtId="0" fontId="58" fillId="50" borderId="19" xfId="0" applyFont="1" applyFill="1" applyBorder="1" applyAlignment="1">
      <alignment horizontal="center"/>
    </xf>
    <xf numFmtId="0" fontId="58" fillId="50" borderId="22" xfId="0" applyFont="1" applyFill="1" applyBorder="1" applyAlignment="1">
      <alignment horizontal="center"/>
    </xf>
    <xf numFmtId="0" fontId="58" fillId="50" borderId="25" xfId="0" applyFont="1" applyFill="1" applyBorder="1" applyAlignment="1">
      <alignment horizontal="center"/>
    </xf>
    <xf numFmtId="0" fontId="58" fillId="50" borderId="16" xfId="0" applyFont="1" applyFill="1" applyBorder="1" applyAlignment="1">
      <alignment horizontal="center"/>
    </xf>
    <xf numFmtId="0" fontId="58" fillId="50" borderId="35" xfId="0" applyFont="1" applyFill="1" applyBorder="1" applyAlignment="1">
      <alignment horizontal="center"/>
    </xf>
    <xf numFmtId="3" fontId="33" fillId="50" borderId="32" xfId="0" applyNumberFormat="1" applyFont="1" applyFill="1" applyBorder="1" applyAlignment="1">
      <alignment horizontal="center" vertical="center" wrapText="1"/>
    </xf>
    <xf numFmtId="3" fontId="0" fillId="50" borderId="38" xfId="0" applyNumberFormat="1" applyFill="1" applyBorder="1"/>
    <xf numFmtId="3" fontId="0" fillId="50" borderId="33" xfId="0" applyNumberFormat="1" applyFill="1" applyBorder="1"/>
    <xf numFmtId="3" fontId="34" fillId="50" borderId="30" xfId="0" applyNumberFormat="1" applyFont="1" applyFill="1" applyBorder="1" applyAlignment="1">
      <alignment horizontal="center" vertical="center" wrapText="1"/>
    </xf>
    <xf numFmtId="3" fontId="0" fillId="50" borderId="37" xfId="0" applyNumberFormat="1" applyFill="1" applyBorder="1"/>
    <xf numFmtId="3" fontId="0" fillId="50" borderId="40" xfId="0" applyNumberFormat="1" applyFill="1" applyBorder="1"/>
    <xf numFmtId="3" fontId="34" fillId="50" borderId="36" xfId="0" applyNumberFormat="1" applyFont="1" applyFill="1" applyBorder="1" applyAlignment="1">
      <alignment horizontal="center" vertical="center" wrapText="1"/>
    </xf>
    <xf numFmtId="3" fontId="0" fillId="50" borderId="31" xfId="0" applyNumberFormat="1" applyFill="1" applyBorder="1"/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1" fontId="33" fillId="0" borderId="17" xfId="0" applyNumberFormat="1" applyFont="1" applyFill="1" applyBorder="1" applyAlignment="1">
      <alignment horizontal="center" vertical="center"/>
    </xf>
    <xf numFmtId="1" fontId="33" fillId="0" borderId="20" xfId="0" applyNumberFormat="1" applyFont="1" applyFill="1" applyBorder="1" applyAlignment="1">
      <alignment horizontal="center" vertical="center"/>
    </xf>
    <xf numFmtId="1" fontId="33" fillId="0" borderId="15" xfId="0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left" vertical="center" wrapText="1"/>
    </xf>
    <xf numFmtId="0" fontId="33" fillId="50" borderId="41" xfId="0" applyFont="1" applyFill="1" applyBorder="1" applyAlignment="1">
      <alignment horizontal="center" vertical="center" wrapText="1"/>
    </xf>
    <xf numFmtId="0" fontId="33" fillId="50" borderId="42" xfId="0" applyFont="1" applyFill="1" applyBorder="1" applyAlignment="1">
      <alignment horizontal="center" vertical="center" wrapText="1"/>
    </xf>
    <xf numFmtId="0" fontId="33" fillId="50" borderId="43" xfId="0" applyFont="1" applyFill="1" applyBorder="1" applyAlignment="1">
      <alignment horizontal="center" vertical="center" wrapText="1"/>
    </xf>
    <xf numFmtId="0" fontId="33" fillId="50" borderId="47" xfId="0" applyFont="1" applyFill="1" applyBorder="1" applyAlignment="1">
      <alignment horizontal="center" vertical="center" wrapText="1"/>
    </xf>
    <xf numFmtId="0" fontId="33" fillId="50" borderId="48" xfId="0" applyFont="1" applyFill="1" applyBorder="1" applyAlignment="1">
      <alignment horizontal="center" vertical="center" wrapText="1"/>
    </xf>
    <xf numFmtId="0" fontId="33" fillId="50" borderId="49" xfId="0" applyFont="1" applyFill="1" applyBorder="1" applyAlignment="1">
      <alignment horizontal="center" vertical="center" wrapText="1"/>
    </xf>
    <xf numFmtId="3" fontId="34" fillId="50" borderId="34" xfId="0" applyNumberFormat="1" applyFont="1" applyFill="1" applyBorder="1" applyAlignment="1">
      <alignment horizontal="center" vertical="center" wrapText="1"/>
    </xf>
    <xf numFmtId="2" fontId="29" fillId="0" borderId="17" xfId="0" applyNumberFormat="1" applyFont="1" applyBorder="1" applyAlignment="1">
      <alignment horizontal="center" vertical="center" wrapText="1"/>
    </xf>
    <xf numFmtId="2" fontId="29" fillId="0" borderId="15" xfId="0" applyNumberFormat="1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left" vertical="center" wrapText="1"/>
    </xf>
    <xf numFmtId="0" fontId="30" fillId="0" borderId="19" xfId="0" applyFont="1" applyBorder="1" applyAlignment="1">
      <alignment horizontal="left" vertical="center" wrapText="1"/>
    </xf>
    <xf numFmtId="0" fontId="30" fillId="0" borderId="22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0" fontId="30" fillId="0" borderId="16" xfId="0" applyFont="1" applyBorder="1" applyAlignment="1">
      <alignment horizontal="left" vertical="center" wrapText="1"/>
    </xf>
    <xf numFmtId="0" fontId="30" fillId="0" borderId="35" xfId="0" applyFont="1" applyBorder="1" applyAlignment="1">
      <alignment horizontal="left" vertical="center" wrapText="1"/>
    </xf>
    <xf numFmtId="3" fontId="34" fillId="0" borderId="38" xfId="0" applyNumberFormat="1" applyFont="1" applyBorder="1" applyAlignment="1">
      <alignment horizontal="center" vertical="center" wrapText="1"/>
    </xf>
    <xf numFmtId="3" fontId="34" fillId="0" borderId="33" xfId="0" applyNumberFormat="1" applyFont="1" applyBorder="1" applyAlignment="1">
      <alignment horizontal="center" vertical="center" wrapText="1"/>
    </xf>
    <xf numFmtId="0" fontId="11" fillId="50" borderId="10" xfId="0" applyFont="1" applyFill="1" applyBorder="1" applyAlignment="1">
      <alignment horizontal="center"/>
    </xf>
    <xf numFmtId="3" fontId="29" fillId="50" borderId="38" xfId="0" applyNumberFormat="1" applyFont="1" applyFill="1" applyBorder="1" applyAlignment="1">
      <alignment horizontal="center" vertical="center" wrapText="1"/>
    </xf>
    <xf numFmtId="3" fontId="29" fillId="50" borderId="33" xfId="0" applyNumberFormat="1" applyFont="1" applyFill="1" applyBorder="1" applyAlignment="1">
      <alignment horizontal="center" vertical="center" wrapText="1"/>
    </xf>
    <xf numFmtId="3" fontId="30" fillId="50" borderId="37" xfId="0" applyNumberFormat="1" applyFont="1" applyFill="1" applyBorder="1" applyAlignment="1">
      <alignment horizontal="center" vertical="center" wrapText="1"/>
    </xf>
    <xf numFmtId="3" fontId="30" fillId="50" borderId="40" xfId="0" applyNumberFormat="1" applyFont="1" applyFill="1" applyBorder="1" applyAlignment="1">
      <alignment horizontal="center" vertical="center" wrapText="1"/>
    </xf>
    <xf numFmtId="3" fontId="30" fillId="50" borderId="36" xfId="0" applyNumberFormat="1" applyFont="1" applyFill="1" applyBorder="1" applyAlignment="1">
      <alignment horizontal="center" vertical="center" wrapText="1"/>
    </xf>
    <xf numFmtId="3" fontId="30" fillId="50" borderId="31" xfId="0" applyNumberFormat="1" applyFont="1" applyFill="1" applyBorder="1" applyAlignment="1">
      <alignment horizontal="center" vertical="center" wrapText="1"/>
    </xf>
    <xf numFmtId="2" fontId="29" fillId="0" borderId="26" xfId="0" applyNumberFormat="1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left" vertical="center" wrapText="1"/>
    </xf>
    <xf numFmtId="0" fontId="36" fillId="0" borderId="18" xfId="356" applyFont="1" applyBorder="1" applyAlignment="1" applyProtection="1">
      <alignment horizontal="center" vertical="top"/>
      <protection hidden="1"/>
    </xf>
    <xf numFmtId="0" fontId="29" fillId="47" borderId="10" xfId="0" applyFont="1" applyFill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2" fontId="30" fillId="0" borderId="11" xfId="0" applyNumberFormat="1" applyFont="1" applyBorder="1" applyAlignment="1">
      <alignment horizontal="center" vertical="center" wrapText="1"/>
    </xf>
    <xf numFmtId="2" fontId="30" fillId="0" borderId="13" xfId="0" applyNumberFormat="1" applyFont="1" applyBorder="1" applyAlignment="1">
      <alignment horizontal="center" vertical="center" wrapText="1"/>
    </xf>
    <xf numFmtId="166" fontId="30" fillId="0" borderId="11" xfId="0" applyNumberFormat="1" applyFont="1" applyBorder="1" applyAlignment="1" applyProtection="1">
      <alignment horizontal="center" vertical="center" wrapText="1"/>
      <protection hidden="1"/>
    </xf>
    <xf numFmtId="166" fontId="30" fillId="0" borderId="13" xfId="0" applyNumberFormat="1" applyFont="1" applyBorder="1" applyAlignment="1" applyProtection="1">
      <alignment horizontal="center" vertical="center" wrapText="1"/>
      <protection hidden="1"/>
    </xf>
    <xf numFmtId="1" fontId="34" fillId="0" borderId="17" xfId="0" applyNumberFormat="1" applyFont="1" applyBorder="1" applyAlignment="1" applyProtection="1">
      <alignment horizontal="center" vertical="center" wrapText="1"/>
      <protection hidden="1"/>
    </xf>
    <xf numFmtId="1" fontId="34" fillId="0" borderId="13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>
      <alignment horizontal="center" vertical="center" wrapText="1"/>
    </xf>
    <xf numFmtId="166" fontId="30" fillId="0" borderId="10" xfId="0" applyNumberFormat="1" applyFont="1" applyBorder="1" applyAlignment="1" applyProtection="1">
      <alignment horizontal="center" vertical="center" wrapText="1"/>
      <protection hidden="1"/>
    </xf>
    <xf numFmtId="3" fontId="34" fillId="0" borderId="32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8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3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0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7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1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0" fontId="29" fillId="0" borderId="35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2" fontId="30" fillId="0" borderId="17" xfId="0" applyNumberFormat="1" applyFont="1" applyFill="1" applyBorder="1" applyAlignment="1">
      <alignment horizontal="center" vertical="center" wrapText="1"/>
    </xf>
    <xf numFmtId="2" fontId="30" fillId="0" borderId="15" xfId="0" applyNumberFormat="1" applyFont="1" applyFill="1" applyBorder="1" applyAlignment="1">
      <alignment horizontal="center" vertical="center" wrapText="1"/>
    </xf>
    <xf numFmtId="166" fontId="30" fillId="0" borderId="20" xfId="0" applyNumberFormat="1" applyFont="1" applyBorder="1" applyAlignment="1" applyProtection="1">
      <alignment horizontal="center" vertical="center" wrapText="1"/>
      <protection hidden="1"/>
    </xf>
    <xf numFmtId="166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Fill="1" applyBorder="1" applyAlignment="1">
      <alignment horizontal="center" vertical="center" wrapText="1"/>
    </xf>
    <xf numFmtId="2" fontId="30" fillId="0" borderId="10" xfId="0" applyNumberFormat="1" applyFont="1" applyFill="1" applyBorder="1" applyAlignment="1">
      <alignment horizontal="center" vertical="center" wrapText="1"/>
    </xf>
    <xf numFmtId="3" fontId="34" fillId="0" borderId="32" xfId="0" applyNumberFormat="1" applyFont="1" applyBorder="1" applyAlignment="1" applyProtection="1">
      <alignment horizontal="center" vertical="center" wrapText="1"/>
      <protection hidden="1"/>
    </xf>
    <xf numFmtId="3" fontId="34" fillId="0" borderId="38" xfId="0" applyNumberFormat="1" applyFont="1" applyBorder="1" applyAlignment="1" applyProtection="1">
      <alignment horizontal="center" vertical="center" wrapText="1"/>
      <protection hidden="1"/>
    </xf>
    <xf numFmtId="3" fontId="34" fillId="0" borderId="33" xfId="0" applyNumberFormat="1" applyFont="1" applyBorder="1" applyAlignment="1" applyProtection="1">
      <alignment horizontal="center" vertical="center" wrapText="1"/>
      <protection hidden="1"/>
    </xf>
    <xf numFmtId="3" fontId="34" fillId="0" borderId="30" xfId="0" applyNumberFormat="1" applyFont="1" applyBorder="1" applyAlignment="1" applyProtection="1">
      <alignment horizontal="center" vertical="center" wrapText="1"/>
      <protection hidden="1"/>
    </xf>
    <xf numFmtId="3" fontId="34" fillId="0" borderId="37" xfId="0" applyNumberFormat="1" applyFont="1" applyBorder="1" applyAlignment="1" applyProtection="1">
      <alignment horizontal="center" vertical="center" wrapText="1"/>
      <protection hidden="1"/>
    </xf>
    <xf numFmtId="3" fontId="34" fillId="0" borderId="31" xfId="0" applyNumberFormat="1" applyFont="1" applyBorder="1" applyAlignment="1" applyProtection="1">
      <alignment horizontal="center" vertical="center" wrapText="1"/>
      <protection hidden="1"/>
    </xf>
    <xf numFmtId="1" fontId="34" fillId="0" borderId="10" xfId="0" applyNumberFormat="1" applyFont="1" applyBorder="1" applyAlignment="1" applyProtection="1">
      <alignment horizontal="center" vertical="center" wrapText="1"/>
      <protection hidden="1"/>
    </xf>
    <xf numFmtId="1" fontId="34" fillId="0" borderId="11" xfId="0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>
      <alignment horizontal="center" vertical="center" wrapText="1"/>
    </xf>
    <xf numFmtId="2" fontId="30" fillId="0" borderId="17" xfId="0" applyNumberFormat="1" applyFont="1" applyBorder="1" applyAlignment="1">
      <alignment horizontal="center" vertical="center" wrapText="1"/>
    </xf>
    <xf numFmtId="2" fontId="30" fillId="0" borderId="15" xfId="0" applyNumberFormat="1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" fontId="34" fillId="0" borderId="26" xfId="0" applyNumberFormat="1" applyFont="1" applyBorder="1" applyAlignment="1" applyProtection="1">
      <alignment horizontal="center" vertical="center" wrapText="1"/>
      <protection hidden="1"/>
    </xf>
    <xf numFmtId="1" fontId="34" fillId="0" borderId="18" xfId="0" applyNumberFormat="1" applyFont="1" applyBorder="1" applyAlignment="1" applyProtection="1">
      <alignment horizontal="center" vertical="center" wrapText="1"/>
      <protection hidden="1"/>
    </xf>
    <xf numFmtId="1" fontId="34" fillId="0" borderId="28" xfId="0" applyNumberFormat="1" applyFont="1" applyBorder="1" applyAlignment="1" applyProtection="1">
      <alignment horizontal="center" vertical="center" wrapText="1"/>
      <protection hidden="1"/>
    </xf>
    <xf numFmtId="0" fontId="42" fillId="48" borderId="10" xfId="357" applyFont="1" applyFill="1" applyBorder="1" applyAlignment="1">
      <alignment horizontal="center" vertical="center" wrapText="1"/>
    </xf>
    <xf numFmtId="0" fontId="40" fillId="48" borderId="26" xfId="0" applyFont="1" applyFill="1" applyBorder="1" applyAlignment="1">
      <alignment horizontal="center" vertical="center" wrapText="1"/>
    </xf>
    <xf numFmtId="0" fontId="40" fillId="48" borderId="28" xfId="0" applyFont="1" applyFill="1" applyBorder="1" applyAlignment="1">
      <alignment horizontal="center" vertical="center" wrapText="1"/>
    </xf>
    <xf numFmtId="0" fontId="40" fillId="48" borderId="23" xfId="0" applyFont="1" applyFill="1" applyBorder="1" applyAlignment="1">
      <alignment horizontal="center" vertical="center" wrapText="1"/>
    </xf>
    <xf numFmtId="0" fontId="40" fillId="48" borderId="0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2" fontId="34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166" fontId="34" fillId="0" borderId="11" xfId="0" applyNumberFormat="1" applyFont="1" applyBorder="1" applyAlignment="1" applyProtection="1">
      <alignment horizontal="center" vertical="center" wrapText="1"/>
      <protection hidden="1"/>
    </xf>
    <xf numFmtId="0" fontId="29" fillId="0" borderId="13" xfId="0" applyFont="1" applyBorder="1" applyAlignment="1">
      <alignment horizontal="center" vertical="center" wrapText="1"/>
    </xf>
    <xf numFmtId="166" fontId="34" fillId="0" borderId="13" xfId="0" applyNumberFormat="1" applyFont="1" applyBorder="1" applyAlignment="1" applyProtection="1">
      <alignment horizontal="center" vertical="center" wrapText="1"/>
      <protection hidden="1"/>
    </xf>
    <xf numFmtId="0" fontId="29" fillId="48" borderId="26" xfId="0" applyFont="1" applyFill="1" applyBorder="1" applyAlignment="1">
      <alignment horizontal="center" vertical="center" wrapText="1"/>
    </xf>
    <xf numFmtId="0" fontId="29" fillId="48" borderId="28" xfId="0" applyFont="1" applyFill="1" applyBorder="1" applyAlignment="1">
      <alignment horizontal="center" vertical="center" wrapText="1"/>
    </xf>
    <xf numFmtId="0" fontId="97" fillId="55" borderId="10" xfId="330" applyFont="1" applyFill="1" applyBorder="1" applyAlignment="1">
      <alignment horizontal="center" vertical="center" wrapText="1"/>
    </xf>
    <xf numFmtId="3" fontId="29" fillId="56" borderId="10" xfId="0" applyNumberFormat="1" applyFont="1" applyFill="1" applyBorder="1" applyAlignment="1" applyProtection="1">
      <alignment horizontal="center" vertical="center" wrapText="1"/>
      <protection hidden="1"/>
    </xf>
    <xf numFmtId="3" fontId="34" fillId="0" borderId="32" xfId="334" applyNumberFormat="1" applyFont="1" applyFill="1" applyBorder="1" applyAlignment="1" applyProtection="1">
      <alignment horizontal="center" vertical="center"/>
      <protection hidden="1"/>
    </xf>
    <xf numFmtId="3" fontId="34" fillId="0" borderId="38" xfId="334" applyNumberFormat="1" applyFont="1" applyFill="1" applyBorder="1" applyAlignment="1" applyProtection="1">
      <alignment horizontal="center" vertical="center"/>
      <protection hidden="1"/>
    </xf>
    <xf numFmtId="3" fontId="34" fillId="0" borderId="33" xfId="334" applyNumberFormat="1" applyFont="1" applyFill="1" applyBorder="1" applyAlignment="1" applyProtection="1">
      <alignment horizontal="center" vertical="center"/>
      <protection hidden="1"/>
    </xf>
    <xf numFmtId="3" fontId="34" fillId="0" borderId="34" xfId="334" applyNumberFormat="1" applyFont="1" applyFill="1" applyBorder="1" applyAlignment="1" applyProtection="1">
      <alignment horizontal="center" vertical="center"/>
      <protection hidden="1"/>
    </xf>
    <xf numFmtId="3" fontId="34" fillId="0" borderId="53" xfId="334" applyNumberFormat="1" applyFont="1" applyFill="1" applyBorder="1" applyAlignment="1" applyProtection="1">
      <alignment horizontal="center" vertical="center"/>
      <protection hidden="1"/>
    </xf>
    <xf numFmtId="3" fontId="34" fillId="0" borderId="29" xfId="334" applyNumberFormat="1" applyFont="1" applyFill="1" applyBorder="1" applyAlignment="1" applyProtection="1">
      <alignment horizontal="center" vertical="center"/>
      <protection hidden="1"/>
    </xf>
    <xf numFmtId="3" fontId="34" fillId="0" borderId="30" xfId="334" applyNumberFormat="1" applyFont="1" applyFill="1" applyBorder="1" applyAlignment="1" applyProtection="1">
      <alignment horizontal="center" vertical="center"/>
      <protection hidden="1"/>
    </xf>
    <xf numFmtId="3" fontId="34" fillId="0" borderId="37" xfId="334" applyNumberFormat="1" applyFont="1" applyFill="1" applyBorder="1" applyAlignment="1" applyProtection="1">
      <alignment horizontal="center" vertical="center"/>
      <protection hidden="1"/>
    </xf>
    <xf numFmtId="3" fontId="34" fillId="0" borderId="31" xfId="334" applyNumberFormat="1" applyFont="1" applyFill="1" applyBorder="1" applyAlignment="1" applyProtection="1">
      <alignment horizontal="center" vertical="center"/>
      <protection hidden="1"/>
    </xf>
    <xf numFmtId="0" fontId="36" fillId="0" borderId="0" xfId="356" applyFont="1" applyBorder="1" applyAlignment="1" applyProtection="1">
      <alignment horizontal="center" wrapText="1"/>
      <protection hidden="1"/>
    </xf>
    <xf numFmtId="0" fontId="36" fillId="0" borderId="16" xfId="356" applyFont="1" applyBorder="1" applyAlignment="1" applyProtection="1">
      <alignment horizontal="center" wrapText="1"/>
      <protection hidden="1"/>
    </xf>
    <xf numFmtId="0" fontId="29" fillId="55" borderId="21" xfId="334" applyFont="1" applyFill="1" applyBorder="1" applyAlignment="1" applyProtection="1">
      <alignment horizontal="center" vertical="center" wrapText="1"/>
      <protection hidden="1"/>
    </xf>
    <xf numFmtId="0" fontId="29" fillId="55" borderId="19" xfId="334" applyFont="1" applyFill="1" applyBorder="1" applyAlignment="1" applyProtection="1">
      <alignment horizontal="center" vertical="center" wrapText="1"/>
      <protection hidden="1"/>
    </xf>
    <xf numFmtId="0" fontId="29" fillId="55" borderId="22" xfId="334" applyFont="1" applyFill="1" applyBorder="1" applyAlignment="1" applyProtection="1">
      <alignment horizontal="center" vertical="center" wrapText="1"/>
      <protection hidden="1"/>
    </xf>
    <xf numFmtId="0" fontId="30" fillId="0" borderId="26" xfId="334" applyFont="1" applyBorder="1" applyAlignment="1" applyProtection="1">
      <alignment horizontal="center" vertical="center" wrapText="1"/>
      <protection hidden="1"/>
    </xf>
    <xf numFmtId="0" fontId="30" fillId="0" borderId="28" xfId="334" applyFont="1" applyBorder="1" applyAlignment="1" applyProtection="1">
      <alignment horizontal="center" vertical="center" wrapText="1"/>
      <protection hidden="1"/>
    </xf>
    <xf numFmtId="0" fontId="29" fillId="55" borderId="25" xfId="334" applyFont="1" applyFill="1" applyBorder="1" applyAlignment="1" applyProtection="1">
      <alignment horizontal="center" vertical="center" wrapText="1"/>
      <protection hidden="1"/>
    </xf>
    <xf numFmtId="0" fontId="29" fillId="55" borderId="16" xfId="334" applyFont="1" applyFill="1" applyBorder="1" applyAlignment="1" applyProtection="1">
      <alignment horizontal="center" vertical="center" wrapText="1"/>
      <protection hidden="1"/>
    </xf>
    <xf numFmtId="0" fontId="29" fillId="55" borderId="35" xfId="334" applyFont="1" applyFill="1" applyBorder="1" applyAlignment="1" applyProtection="1">
      <alignment horizontal="center" vertical="center" wrapText="1"/>
      <protection hidden="1"/>
    </xf>
    <xf numFmtId="0" fontId="29" fillId="0" borderId="21" xfId="334" applyFont="1" applyBorder="1" applyAlignment="1" applyProtection="1">
      <alignment horizontal="center" vertical="center" wrapText="1"/>
      <protection hidden="1"/>
    </xf>
    <xf numFmtId="0" fontId="29" fillId="0" borderId="19" xfId="334" applyFont="1" applyBorder="1" applyAlignment="1" applyProtection="1">
      <alignment horizontal="center" vertical="center" wrapText="1"/>
      <protection hidden="1"/>
    </xf>
    <xf numFmtId="0" fontId="29" fillId="0" borderId="22" xfId="334" applyFont="1" applyBorder="1" applyAlignment="1" applyProtection="1">
      <alignment horizontal="center" vertical="center" wrapText="1"/>
      <protection hidden="1"/>
    </xf>
    <xf numFmtId="0" fontId="29" fillId="0" borderId="23" xfId="334" applyFont="1" applyBorder="1" applyAlignment="1" applyProtection="1">
      <alignment horizontal="center" vertical="center" wrapText="1"/>
      <protection hidden="1"/>
    </xf>
    <xf numFmtId="0" fontId="29" fillId="0" borderId="0" xfId="334" applyFont="1" applyBorder="1" applyAlignment="1" applyProtection="1">
      <alignment horizontal="center" vertical="center" wrapText="1"/>
      <protection hidden="1"/>
    </xf>
    <xf numFmtId="0" fontId="29" fillId="0" borderId="24" xfId="334" applyFont="1" applyBorder="1" applyAlignment="1" applyProtection="1">
      <alignment horizontal="center" vertical="center" wrapText="1"/>
      <protection hidden="1"/>
    </xf>
    <xf numFmtId="0" fontId="29" fillId="0" borderId="25" xfId="334" applyFont="1" applyBorder="1" applyAlignment="1" applyProtection="1">
      <alignment horizontal="center" vertical="center" wrapText="1"/>
      <protection hidden="1"/>
    </xf>
    <xf numFmtId="0" fontId="29" fillId="0" borderId="16" xfId="334" applyFont="1" applyBorder="1" applyAlignment="1" applyProtection="1">
      <alignment horizontal="center" vertical="center" wrapText="1"/>
      <protection hidden="1"/>
    </xf>
    <xf numFmtId="0" fontId="29" fillId="0" borderId="35" xfId="334" applyFont="1" applyBorder="1" applyAlignment="1" applyProtection="1">
      <alignment horizontal="center" vertical="center" wrapText="1"/>
      <protection hidden="1"/>
    </xf>
    <xf numFmtId="2" fontId="30" fillId="0" borderId="26" xfId="334" applyNumberFormat="1" applyFont="1" applyBorder="1" applyAlignment="1" applyProtection="1">
      <alignment horizontal="center" vertical="center"/>
      <protection hidden="1"/>
    </xf>
    <xf numFmtId="2" fontId="30" fillId="0" borderId="18" xfId="334" applyNumberFormat="1" applyFont="1" applyBorder="1" applyAlignment="1" applyProtection="1">
      <alignment horizontal="center" vertical="center"/>
      <protection hidden="1"/>
    </xf>
    <xf numFmtId="2" fontId="30" fillId="0" borderId="28" xfId="334" applyNumberFormat="1" applyFont="1" applyBorder="1" applyAlignment="1" applyProtection="1">
      <alignment horizontal="center" vertical="center"/>
      <protection hidden="1"/>
    </xf>
    <xf numFmtId="0" fontId="29" fillId="55" borderId="26" xfId="334" applyFont="1" applyFill="1" applyBorder="1" applyAlignment="1" applyProtection="1">
      <alignment horizontal="center" vertical="center" wrapText="1"/>
      <protection hidden="1"/>
    </xf>
    <xf numFmtId="0" fontId="29" fillId="55" borderId="18" xfId="334" applyFont="1" applyFill="1" applyBorder="1" applyAlignment="1" applyProtection="1">
      <alignment horizontal="center" vertical="center" wrapText="1"/>
      <protection hidden="1"/>
    </xf>
    <xf numFmtId="0" fontId="29" fillId="55" borderId="28" xfId="334" applyFont="1" applyFill="1" applyBorder="1" applyAlignment="1" applyProtection="1">
      <alignment horizontal="center" vertical="center" wrapText="1"/>
      <protection hidden="1"/>
    </xf>
    <xf numFmtId="166" fontId="30" fillId="0" borderId="17" xfId="334" applyNumberFormat="1" applyFont="1" applyBorder="1" applyAlignment="1" applyProtection="1">
      <alignment horizontal="center" vertical="center"/>
      <protection hidden="1"/>
    </xf>
    <xf numFmtId="166" fontId="30" fillId="0" borderId="15" xfId="334" applyNumberFormat="1" applyFont="1" applyBorder="1" applyAlignment="1" applyProtection="1">
      <alignment horizontal="center" vertical="center"/>
      <protection hidden="1"/>
    </xf>
    <xf numFmtId="3" fontId="29" fillId="55" borderId="26" xfId="334" applyNumberFormat="1" applyFont="1" applyFill="1" applyBorder="1" applyAlignment="1" applyProtection="1">
      <alignment horizontal="center" vertical="center" wrapText="1"/>
      <protection hidden="1"/>
    </xf>
    <xf numFmtId="3" fontId="29" fillId="55" borderId="28" xfId="334" applyNumberFormat="1" applyFont="1" applyFill="1" applyBorder="1" applyAlignment="1" applyProtection="1">
      <alignment horizontal="center" vertical="center" wrapText="1"/>
      <protection hidden="1"/>
    </xf>
    <xf numFmtId="0" fontId="29" fillId="0" borderId="17" xfId="357" applyFont="1" applyBorder="1" applyAlignment="1">
      <alignment horizontal="center" vertical="center"/>
    </xf>
    <xf numFmtId="0" fontId="29" fillId="0" borderId="65" xfId="357" applyFont="1" applyBorder="1" applyAlignment="1">
      <alignment horizontal="center" vertical="center"/>
    </xf>
    <xf numFmtId="0" fontId="33" fillId="0" borderId="63" xfId="334" applyFont="1" applyBorder="1" applyAlignment="1">
      <alignment horizontal="center" vertical="center" wrapText="1"/>
    </xf>
    <xf numFmtId="0" fontId="33" fillId="0" borderId="15" xfId="334" applyFont="1" applyBorder="1" applyAlignment="1">
      <alignment horizontal="center" vertical="center"/>
    </xf>
    <xf numFmtId="0" fontId="33" fillId="0" borderId="17" xfId="334" applyFont="1" applyBorder="1" applyAlignment="1">
      <alignment horizontal="center" vertical="center" wrapText="1"/>
    </xf>
    <xf numFmtId="0" fontId="33" fillId="0" borderId="20" xfId="334" applyFont="1" applyBorder="1" applyAlignment="1">
      <alignment horizontal="center" vertical="center"/>
    </xf>
    <xf numFmtId="0" fontId="29" fillId="0" borderId="72" xfId="357" applyFont="1" applyBorder="1" applyAlignment="1">
      <alignment horizontal="center" vertical="center"/>
    </xf>
    <xf numFmtId="0" fontId="29" fillId="0" borderId="0" xfId="357" applyFont="1" applyBorder="1" applyAlignment="1">
      <alignment horizontal="center" vertical="center"/>
    </xf>
    <xf numFmtId="0" fontId="30" fillId="0" borderId="32" xfId="330" applyFont="1" applyBorder="1" applyAlignment="1" applyProtection="1">
      <alignment horizontal="center" vertical="center" wrapText="1"/>
      <protection hidden="1"/>
    </xf>
    <xf numFmtId="0" fontId="30" fillId="0" borderId="33" xfId="330" applyFont="1" applyBorder="1" applyAlignment="1" applyProtection="1">
      <alignment horizontal="center" vertical="center" wrapText="1"/>
      <protection hidden="1"/>
    </xf>
    <xf numFmtId="0" fontId="39" fillId="0" borderId="30" xfId="334" applyFont="1" applyBorder="1" applyAlignment="1">
      <alignment horizontal="center" vertical="center"/>
    </xf>
    <xf numFmtId="0" fontId="39" fillId="0" borderId="31" xfId="334" applyFont="1" applyBorder="1" applyAlignment="1">
      <alignment horizontal="center" vertical="center"/>
    </xf>
    <xf numFmtId="9" fontId="45" fillId="0" borderId="26" xfId="373" applyFont="1" applyBorder="1" applyAlignment="1">
      <alignment horizontal="center" vertical="center"/>
    </xf>
    <xf numFmtId="9" fontId="45" fillId="0" borderId="28" xfId="373" applyFont="1" applyBorder="1" applyAlignment="1">
      <alignment horizontal="center" vertical="center"/>
    </xf>
    <xf numFmtId="9" fontId="45" fillId="0" borderId="18" xfId="373" applyFont="1" applyBorder="1" applyAlignment="1">
      <alignment horizontal="center" vertical="center"/>
    </xf>
    <xf numFmtId="0" fontId="34" fillId="0" borderId="26" xfId="334" applyFont="1" applyBorder="1" applyAlignment="1">
      <alignment horizontal="center" vertical="center"/>
    </xf>
    <xf numFmtId="0" fontId="34" fillId="0" borderId="28" xfId="334" applyFont="1" applyBorder="1" applyAlignment="1">
      <alignment horizontal="center" vertical="center"/>
    </xf>
    <xf numFmtId="0" fontId="29" fillId="55" borderId="17" xfId="330" applyFont="1" applyFill="1" applyBorder="1" applyAlignment="1" applyProtection="1">
      <alignment horizontal="center" vertical="center" wrapText="1"/>
      <protection hidden="1"/>
    </xf>
    <xf numFmtId="0" fontId="29" fillId="55" borderId="15" xfId="330" applyFont="1" applyFill="1" applyBorder="1" applyAlignment="1" applyProtection="1">
      <alignment horizontal="center" vertical="center" wrapText="1"/>
      <protection hidden="1"/>
    </xf>
    <xf numFmtId="0" fontId="29" fillId="0" borderId="21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0" fontId="29" fillId="0" borderId="3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30" fillId="0" borderId="0" xfId="330" applyFont="1" applyBorder="1" applyAlignment="1" applyProtection="1">
      <alignment horizontal="center" vertical="center" wrapText="1"/>
      <protection hidden="1"/>
    </xf>
    <xf numFmtId="3" fontId="34" fillId="0" borderId="34" xfId="334" applyNumberFormat="1" applyFont="1" applyBorder="1" applyAlignment="1" applyProtection="1">
      <alignment horizontal="center" vertical="center"/>
      <protection hidden="1"/>
    </xf>
    <xf numFmtId="3" fontId="34" fillId="0" borderId="29" xfId="334" applyNumberFormat="1" applyFont="1" applyBorder="1" applyAlignment="1" applyProtection="1">
      <alignment horizontal="center" vertical="center"/>
      <protection hidden="1"/>
    </xf>
    <xf numFmtId="3" fontId="30" fillId="0" borderId="34" xfId="334" applyNumberFormat="1" applyFont="1" applyBorder="1" applyAlignment="1" applyProtection="1">
      <alignment horizontal="center" vertical="center"/>
      <protection hidden="1"/>
    </xf>
    <xf numFmtId="3" fontId="30" fillId="0" borderId="29" xfId="334" applyNumberFormat="1" applyFont="1" applyBorder="1" applyAlignment="1" applyProtection="1">
      <alignment horizontal="center" vertical="center"/>
      <protection hidden="1"/>
    </xf>
    <xf numFmtId="3" fontId="34" fillId="0" borderId="30" xfId="334" applyNumberFormat="1" applyFont="1" applyBorder="1" applyAlignment="1" applyProtection="1">
      <alignment horizontal="center" vertical="center"/>
      <protection hidden="1"/>
    </xf>
    <xf numFmtId="3" fontId="34" fillId="0" borderId="31" xfId="334" applyNumberFormat="1" applyFont="1" applyBorder="1" applyAlignment="1" applyProtection="1">
      <alignment horizontal="center" vertical="center"/>
      <protection hidden="1"/>
    </xf>
    <xf numFmtId="3" fontId="30" fillId="0" borderId="26" xfId="334" applyNumberFormat="1" applyFont="1" applyBorder="1" applyAlignment="1" applyProtection="1">
      <alignment horizontal="center" vertical="center"/>
      <protection hidden="1"/>
    </xf>
    <xf numFmtId="3" fontId="30" fillId="0" borderId="28" xfId="334" applyNumberFormat="1" applyFont="1" applyBorder="1" applyAlignment="1" applyProtection="1">
      <alignment horizontal="center" vertical="center"/>
      <protection hidden="1"/>
    </xf>
    <xf numFmtId="0" fontId="30" fillId="0" borderId="18" xfId="334" applyFont="1" applyBorder="1" applyAlignment="1" applyProtection="1">
      <alignment horizontal="center" vertical="center" wrapText="1"/>
      <protection hidden="1"/>
    </xf>
    <xf numFmtId="0" fontId="39" fillId="0" borderId="55" xfId="334" applyFont="1" applyBorder="1" applyAlignment="1">
      <alignment horizontal="center" vertical="center"/>
    </xf>
    <xf numFmtId="0" fontId="39" fillId="0" borderId="57" xfId="334" applyFont="1" applyBorder="1" applyAlignment="1">
      <alignment horizontal="center" vertical="center"/>
    </xf>
    <xf numFmtId="0" fontId="30" fillId="0" borderId="72" xfId="330" applyFont="1" applyBorder="1" applyAlignment="1" applyProtection="1">
      <alignment horizontal="center" vertical="center" wrapText="1"/>
      <protection hidden="1"/>
    </xf>
    <xf numFmtId="0" fontId="29" fillId="0" borderId="21" xfId="334" applyFont="1" applyFill="1" applyBorder="1" applyAlignment="1" applyProtection="1">
      <alignment horizontal="center" vertical="center" wrapText="1"/>
      <protection hidden="1"/>
    </xf>
    <xf numFmtId="0" fontId="29" fillId="0" borderId="19" xfId="334" applyFont="1" applyFill="1" applyBorder="1" applyAlignment="1" applyProtection="1">
      <alignment horizontal="center" vertical="center" wrapText="1"/>
      <protection hidden="1"/>
    </xf>
    <xf numFmtId="0" fontId="29" fillId="0" borderId="25" xfId="334" applyFont="1" applyFill="1" applyBorder="1" applyAlignment="1" applyProtection="1">
      <alignment horizontal="center" vertical="center" wrapText="1"/>
      <protection hidden="1"/>
    </xf>
    <xf numFmtId="0" fontId="29" fillId="0" borderId="16" xfId="334" applyFont="1" applyFill="1" applyBorder="1" applyAlignment="1" applyProtection="1">
      <alignment horizontal="center" vertical="center" wrapText="1"/>
      <protection hidden="1"/>
    </xf>
    <xf numFmtId="0" fontId="29" fillId="0" borderId="17" xfId="330" applyFont="1" applyBorder="1" applyAlignment="1" applyProtection="1">
      <alignment horizontal="center" vertical="center" wrapText="1"/>
      <protection hidden="1"/>
    </xf>
    <xf numFmtId="0" fontId="100" fillId="0" borderId="62" xfId="334" applyFont="1" applyBorder="1" applyAlignment="1">
      <alignment horizontal="center" vertical="center" textRotation="60"/>
    </xf>
    <xf numFmtId="0" fontId="100" fillId="0" borderId="23" xfId="334" applyFont="1" applyBorder="1" applyAlignment="1">
      <alignment horizontal="center" vertical="center" textRotation="60"/>
    </xf>
    <xf numFmtId="0" fontId="100" fillId="0" borderId="64" xfId="334" applyFont="1" applyBorder="1" applyAlignment="1">
      <alignment horizontal="center" vertical="center" textRotation="60"/>
    </xf>
    <xf numFmtId="0" fontId="30" fillId="0" borderId="70" xfId="330" applyFont="1" applyBorder="1" applyAlignment="1" applyProtection="1">
      <alignment horizontal="center" vertical="center" wrapText="1"/>
      <protection hidden="1"/>
    </xf>
    <xf numFmtId="0" fontId="30" fillId="0" borderId="71" xfId="330" applyFont="1" applyBorder="1" applyAlignment="1" applyProtection="1">
      <alignment horizontal="center" vertical="center" wrapText="1"/>
      <protection hidden="1"/>
    </xf>
    <xf numFmtId="0" fontId="30" fillId="0" borderId="17" xfId="334" applyFont="1" applyBorder="1" applyAlignment="1" applyProtection="1">
      <alignment horizontal="center" vertical="center" wrapText="1"/>
      <protection hidden="1"/>
    </xf>
    <xf numFmtId="0" fontId="30" fillId="0" borderId="15" xfId="334" applyFont="1" applyBorder="1" applyAlignment="1" applyProtection="1">
      <alignment horizontal="center" vertical="center" wrapText="1"/>
      <protection hidden="1"/>
    </xf>
    <xf numFmtId="1" fontId="34" fillId="0" borderId="10" xfId="334" applyNumberFormat="1" applyFont="1" applyBorder="1" applyAlignment="1">
      <alignment horizontal="center" vertical="center"/>
    </xf>
    <xf numFmtId="3" fontId="34" fillId="0" borderId="50" xfId="334" applyNumberFormat="1" applyFont="1" applyBorder="1" applyAlignment="1" applyProtection="1">
      <alignment horizontal="center" vertical="center"/>
      <protection hidden="1"/>
    </xf>
    <xf numFmtId="3" fontId="34" fillId="0" borderId="51" xfId="334" applyNumberFormat="1" applyFont="1" applyBorder="1" applyAlignment="1" applyProtection="1">
      <alignment horizontal="center" vertical="center"/>
      <protection hidden="1"/>
    </xf>
    <xf numFmtId="0" fontId="29" fillId="55" borderId="17" xfId="334" applyFont="1" applyFill="1" applyBorder="1" applyAlignment="1" applyProtection="1">
      <alignment horizontal="center" vertical="center" wrapText="1"/>
      <protection hidden="1"/>
    </xf>
    <xf numFmtId="0" fontId="29" fillId="55" borderId="15" xfId="334" applyFont="1" applyFill="1" applyBorder="1" applyAlignment="1" applyProtection="1">
      <alignment horizontal="center" vertical="center" wrapText="1"/>
      <protection hidden="1"/>
    </xf>
    <xf numFmtId="169" fontId="34" fillId="0" borderId="34" xfId="334" applyNumberFormat="1" applyFont="1" applyBorder="1" applyAlignment="1" applyProtection="1">
      <alignment horizontal="center" vertical="center" wrapText="1"/>
      <protection hidden="1"/>
    </xf>
    <xf numFmtId="169" fontId="34" fillId="0" borderId="29" xfId="334" applyNumberFormat="1" applyFont="1" applyBorder="1" applyAlignment="1" applyProtection="1">
      <alignment horizontal="center" vertical="center" wrapText="1"/>
      <protection hidden="1"/>
    </xf>
    <xf numFmtId="169" fontId="34" fillId="0" borderId="32" xfId="334" applyNumberFormat="1" applyFont="1" applyBorder="1" applyAlignment="1" applyProtection="1">
      <alignment horizontal="center" vertical="center" wrapText="1"/>
      <protection hidden="1"/>
    </xf>
    <xf numFmtId="169" fontId="34" fillId="0" borderId="33" xfId="334" applyNumberFormat="1" applyFont="1" applyBorder="1" applyAlignment="1" applyProtection="1">
      <alignment horizontal="center" vertical="center" wrapText="1"/>
      <protection hidden="1"/>
    </xf>
    <xf numFmtId="169" fontId="34" fillId="0" borderId="30" xfId="334" applyNumberFormat="1" applyFont="1" applyBorder="1" applyAlignment="1" applyProtection="1">
      <alignment horizontal="center" vertical="center" wrapText="1"/>
      <protection hidden="1"/>
    </xf>
    <xf numFmtId="169" fontId="34" fillId="0" borderId="31" xfId="334" applyNumberFormat="1" applyFont="1" applyBorder="1" applyAlignment="1" applyProtection="1">
      <alignment horizontal="center" vertical="center" wrapText="1"/>
      <protection hidden="1"/>
    </xf>
    <xf numFmtId="0" fontId="30" fillId="0" borderId="17" xfId="334" applyFont="1" applyBorder="1" applyAlignment="1" applyProtection="1">
      <alignment horizontal="center" vertical="center"/>
      <protection hidden="1"/>
    </xf>
    <xf numFmtId="0" fontId="30" fillId="0" borderId="20" xfId="334" applyFont="1" applyBorder="1" applyAlignment="1" applyProtection="1">
      <alignment horizontal="center" vertical="center"/>
      <protection hidden="1"/>
    </xf>
    <xf numFmtId="0" fontId="30" fillId="0" borderId="15" xfId="334" applyFont="1" applyBorder="1" applyAlignment="1" applyProtection="1">
      <alignment horizontal="center" vertical="center"/>
      <protection hidden="1"/>
    </xf>
    <xf numFmtId="3" fontId="29" fillId="55" borderId="21" xfId="334" applyNumberFormat="1" applyFont="1" applyFill="1" applyBorder="1" applyAlignment="1" applyProtection="1">
      <alignment horizontal="center" vertical="center" wrapText="1"/>
      <protection hidden="1"/>
    </xf>
    <xf numFmtId="3" fontId="29" fillId="55" borderId="22" xfId="334" applyNumberFormat="1" applyFont="1" applyFill="1" applyBorder="1" applyAlignment="1" applyProtection="1">
      <alignment horizontal="center" vertical="center" wrapText="1"/>
      <protection hidden="1"/>
    </xf>
    <xf numFmtId="3" fontId="29" fillId="55" borderId="25" xfId="334" applyNumberFormat="1" applyFont="1" applyFill="1" applyBorder="1" applyAlignment="1" applyProtection="1">
      <alignment horizontal="center" vertical="center" wrapText="1"/>
      <protection hidden="1"/>
    </xf>
    <xf numFmtId="3" fontId="29" fillId="55" borderId="35" xfId="334" applyNumberFormat="1" applyFont="1" applyFill="1" applyBorder="1" applyAlignment="1" applyProtection="1">
      <alignment horizontal="center" vertical="center" wrapText="1"/>
      <protection hidden="1"/>
    </xf>
    <xf numFmtId="0" fontId="29" fillId="0" borderId="21" xfId="330" applyFont="1" applyBorder="1" applyAlignment="1" applyProtection="1">
      <alignment horizontal="center" vertical="center" wrapText="1"/>
      <protection hidden="1"/>
    </xf>
    <xf numFmtId="0" fontId="29" fillId="0" borderId="22" xfId="330" applyFont="1" applyBorder="1" applyAlignment="1" applyProtection="1">
      <alignment horizontal="center" vertical="center" wrapText="1"/>
      <protection hidden="1"/>
    </xf>
    <xf numFmtId="0" fontId="29" fillId="0" borderId="23" xfId="330" applyFont="1" applyBorder="1" applyAlignment="1" applyProtection="1">
      <alignment horizontal="center" vertical="center" wrapText="1"/>
      <protection hidden="1"/>
    </xf>
    <xf numFmtId="0" fontId="29" fillId="0" borderId="24" xfId="330" applyFont="1" applyBorder="1" applyAlignment="1" applyProtection="1">
      <alignment horizontal="center" vertical="center" wrapText="1"/>
      <protection hidden="1"/>
    </xf>
    <xf numFmtId="0" fontId="29" fillId="0" borderId="25" xfId="330" applyFont="1" applyBorder="1" applyAlignment="1" applyProtection="1">
      <alignment horizontal="center" vertical="center" wrapText="1"/>
      <protection hidden="1"/>
    </xf>
    <xf numFmtId="0" fontId="29" fillId="0" borderId="35" xfId="330" applyFont="1" applyBorder="1" applyAlignment="1" applyProtection="1">
      <alignment horizontal="center" vertical="center" wrapText="1"/>
      <protection hidden="1"/>
    </xf>
    <xf numFmtId="0" fontId="29" fillId="0" borderId="20" xfId="330" applyFont="1" applyBorder="1" applyAlignment="1" applyProtection="1">
      <alignment horizontal="center" vertical="center" wrapText="1"/>
      <protection hidden="1"/>
    </xf>
    <xf numFmtId="0" fontId="29" fillId="0" borderId="15" xfId="330" applyFont="1" applyBorder="1" applyAlignment="1" applyProtection="1">
      <alignment horizontal="center" vertical="center" wrapText="1"/>
      <protection hidden="1"/>
    </xf>
    <xf numFmtId="0" fontId="30" fillId="0" borderId="34" xfId="334" applyFont="1" applyBorder="1" applyAlignment="1" applyProtection="1">
      <alignment horizontal="center" vertical="center" wrapText="1"/>
      <protection hidden="1"/>
    </xf>
    <xf numFmtId="0" fontId="30" fillId="0" borderId="29" xfId="334" applyFont="1" applyBorder="1" applyAlignment="1" applyProtection="1">
      <alignment horizontal="center" vertical="center" wrapText="1"/>
      <protection hidden="1"/>
    </xf>
    <xf numFmtId="0" fontId="30" fillId="0" borderId="30" xfId="334" applyFont="1" applyBorder="1" applyAlignment="1" applyProtection="1">
      <alignment horizontal="center" vertical="center" wrapText="1"/>
      <protection hidden="1"/>
    </xf>
    <xf numFmtId="0" fontId="30" fillId="0" borderId="31" xfId="334" applyFont="1" applyBorder="1" applyAlignment="1" applyProtection="1">
      <alignment horizontal="center" vertical="center" wrapText="1"/>
      <protection hidden="1"/>
    </xf>
    <xf numFmtId="0" fontId="30" fillId="0" borderId="50" xfId="334" applyFont="1" applyBorder="1" applyAlignment="1" applyProtection="1">
      <alignment horizontal="center" vertical="center" wrapText="1"/>
      <protection hidden="1"/>
    </xf>
    <xf numFmtId="0" fontId="30" fillId="0" borderId="51" xfId="334" applyFont="1" applyBorder="1" applyAlignment="1" applyProtection="1">
      <alignment horizontal="center" vertical="center" wrapText="1"/>
      <protection hidden="1"/>
    </xf>
    <xf numFmtId="0" fontId="29" fillId="0" borderId="17" xfId="334" applyFont="1" applyFill="1" applyBorder="1" applyAlignment="1" applyProtection="1">
      <alignment horizontal="center" vertical="center" wrapText="1"/>
      <protection hidden="1"/>
    </xf>
    <xf numFmtId="0" fontId="29" fillId="0" borderId="15" xfId="334" applyFont="1" applyFill="1" applyBorder="1" applyAlignment="1" applyProtection="1">
      <alignment horizontal="center" vertical="center" wrapText="1"/>
      <protection hidden="1"/>
    </xf>
    <xf numFmtId="0" fontId="42" fillId="48" borderId="17" xfId="357" applyFont="1" applyFill="1" applyBorder="1" applyAlignment="1">
      <alignment horizontal="center" vertical="center" wrapText="1"/>
    </xf>
    <xf numFmtId="0" fontId="42" fillId="48" borderId="15" xfId="357" applyFont="1" applyFill="1" applyBorder="1" applyAlignment="1">
      <alignment horizontal="center" vertical="center" wrapText="1"/>
    </xf>
    <xf numFmtId="166" fontId="30" fillId="0" borderId="21" xfId="334" applyNumberFormat="1" applyFont="1" applyBorder="1" applyAlignment="1" applyProtection="1">
      <alignment horizontal="center" vertical="center"/>
      <protection hidden="1"/>
    </xf>
    <xf numFmtId="166" fontId="30" fillId="0" borderId="22" xfId="334" applyNumberFormat="1" applyFont="1" applyBorder="1" applyAlignment="1" applyProtection="1">
      <alignment horizontal="center" vertical="center"/>
      <protection hidden="1"/>
    </xf>
    <xf numFmtId="166" fontId="30" fillId="0" borderId="25" xfId="334" applyNumberFormat="1" applyFont="1" applyBorder="1" applyAlignment="1" applyProtection="1">
      <alignment horizontal="center" vertical="center"/>
      <protection hidden="1"/>
    </xf>
    <xf numFmtId="166" fontId="30" fillId="0" borderId="35" xfId="334" applyNumberFormat="1" applyFont="1" applyBorder="1" applyAlignment="1" applyProtection="1">
      <alignment horizontal="center" vertical="center"/>
      <protection hidden="1"/>
    </xf>
    <xf numFmtId="0" fontId="33" fillId="48" borderId="26" xfId="334" applyFont="1" applyFill="1" applyBorder="1" applyAlignment="1">
      <alignment horizontal="center" vertical="center" wrapText="1"/>
    </xf>
    <xf numFmtId="0" fontId="33" fillId="48" borderId="18" xfId="334" applyFont="1" applyFill="1" applyBorder="1" applyAlignment="1">
      <alignment horizontal="center" vertical="center" wrapText="1"/>
    </xf>
    <xf numFmtId="0" fontId="33" fillId="48" borderId="28" xfId="334" applyFont="1" applyFill="1" applyBorder="1" applyAlignment="1">
      <alignment horizontal="center" vertical="center" wrapText="1"/>
    </xf>
    <xf numFmtId="0" fontId="30" fillId="0" borderId="26" xfId="357" applyFont="1" applyFill="1" applyBorder="1" applyAlignment="1">
      <alignment horizontal="center" vertical="center" wrapText="1"/>
    </xf>
    <xf numFmtId="0" fontId="30" fillId="0" borderId="18" xfId="357" applyFont="1" applyFill="1" applyBorder="1" applyAlignment="1">
      <alignment horizontal="center" vertical="center" wrapText="1"/>
    </xf>
    <xf numFmtId="0" fontId="30" fillId="0" borderId="28" xfId="357" applyFont="1" applyFill="1" applyBorder="1" applyAlignment="1">
      <alignment horizontal="center" vertical="center" wrapText="1"/>
    </xf>
    <xf numFmtId="166" fontId="30" fillId="0" borderId="26" xfId="334" applyNumberFormat="1" applyFont="1" applyFill="1" applyBorder="1" applyAlignment="1" applyProtection="1">
      <alignment horizontal="center" vertical="center"/>
      <protection hidden="1"/>
    </xf>
    <xf numFmtId="166" fontId="30" fillId="0" borderId="28" xfId="334" applyNumberFormat="1" applyFont="1" applyFill="1" applyBorder="1" applyAlignment="1" applyProtection="1">
      <alignment horizontal="center" vertical="center"/>
      <protection hidden="1"/>
    </xf>
    <xf numFmtId="0" fontId="30" fillId="0" borderId="26" xfId="334" applyFont="1" applyFill="1" applyBorder="1" applyAlignment="1" applyProtection="1">
      <alignment horizontal="center" vertical="center" wrapText="1"/>
      <protection hidden="1"/>
    </xf>
    <xf numFmtId="0" fontId="30" fillId="0" borderId="28" xfId="334" applyFont="1" applyFill="1" applyBorder="1" applyAlignment="1" applyProtection="1">
      <alignment horizontal="center" vertical="center" wrapText="1"/>
      <protection hidden="1"/>
    </xf>
    <xf numFmtId="0" fontId="30" fillId="0" borderId="10" xfId="334" applyFont="1" applyFill="1" applyBorder="1" applyAlignment="1" applyProtection="1">
      <alignment horizontal="center" vertical="center" wrapText="1"/>
      <protection hidden="1"/>
    </xf>
    <xf numFmtId="0" fontId="30" fillId="0" borderId="30" xfId="330" applyFont="1" applyBorder="1" applyAlignment="1" applyProtection="1">
      <alignment horizontal="center" vertical="center" wrapText="1"/>
      <protection hidden="1"/>
    </xf>
    <xf numFmtId="0" fontId="30" fillId="0" borderId="31" xfId="330" applyFont="1" applyBorder="1" applyAlignment="1" applyProtection="1">
      <alignment horizontal="center" vertical="center" wrapText="1"/>
      <protection hidden="1"/>
    </xf>
    <xf numFmtId="0" fontId="34" fillId="0" borderId="18" xfId="334" applyFont="1" applyBorder="1" applyAlignment="1">
      <alignment horizontal="center" vertical="center"/>
    </xf>
    <xf numFmtId="0" fontId="30" fillId="0" borderId="20" xfId="334" applyFont="1" applyBorder="1" applyAlignment="1" applyProtection="1">
      <alignment horizontal="center" vertical="center" wrapText="1"/>
      <protection hidden="1"/>
    </xf>
    <xf numFmtId="0" fontId="39" fillId="0" borderId="0" xfId="334" applyFont="1" applyBorder="1" applyAlignment="1">
      <alignment horizontal="center" vertical="center"/>
    </xf>
    <xf numFmtId="0" fontId="30" fillId="0" borderId="55" xfId="330" applyFont="1" applyBorder="1" applyAlignment="1" applyProtection="1">
      <alignment horizontal="center" vertical="center" wrapText="1"/>
      <protection hidden="1"/>
    </xf>
    <xf numFmtId="0" fontId="30" fillId="0" borderId="57" xfId="330" applyFont="1" applyBorder="1" applyAlignment="1" applyProtection="1">
      <alignment horizontal="center" vertical="center" wrapText="1"/>
      <protection hidden="1"/>
    </xf>
    <xf numFmtId="0" fontId="39" fillId="0" borderId="68" xfId="334" applyFont="1" applyBorder="1" applyAlignment="1">
      <alignment horizontal="center" vertical="center"/>
    </xf>
    <xf numFmtId="0" fontId="39" fillId="0" borderId="69" xfId="334" applyFont="1" applyBorder="1" applyAlignment="1">
      <alignment horizontal="center" vertical="center"/>
    </xf>
    <xf numFmtId="0" fontId="30" fillId="0" borderId="68" xfId="330" applyFont="1" applyBorder="1" applyAlignment="1" applyProtection="1">
      <alignment horizontal="center" vertical="center" wrapText="1"/>
      <protection hidden="1"/>
    </xf>
    <xf numFmtId="0" fontId="30" fillId="0" borderId="69" xfId="330" applyFont="1" applyBorder="1" applyAlignment="1" applyProtection="1">
      <alignment horizontal="center" vertical="center" wrapText="1"/>
      <protection hidden="1"/>
    </xf>
    <xf numFmtId="0" fontId="39" fillId="0" borderId="13" xfId="334" applyFont="1" applyBorder="1" applyAlignment="1">
      <alignment horizontal="center" vertical="center"/>
    </xf>
    <xf numFmtId="0" fontId="30" fillId="0" borderId="66" xfId="330" applyFont="1" applyBorder="1" applyAlignment="1" applyProtection="1">
      <alignment horizontal="center" vertical="center" wrapText="1"/>
      <protection hidden="1"/>
    </xf>
    <xf numFmtId="0" fontId="30" fillId="0" borderId="13" xfId="330" applyFont="1" applyBorder="1" applyAlignment="1" applyProtection="1">
      <alignment horizontal="center" vertical="center" wrapText="1"/>
      <protection hidden="1"/>
    </xf>
    <xf numFmtId="0" fontId="33" fillId="0" borderId="0" xfId="334" applyFont="1" applyBorder="1" applyAlignment="1">
      <alignment horizontal="center"/>
    </xf>
    <xf numFmtId="0" fontId="29" fillId="0" borderId="26" xfId="334" applyFont="1" applyBorder="1" applyAlignment="1" applyProtection="1">
      <alignment horizontal="center" vertical="center" wrapText="1"/>
      <protection hidden="1"/>
    </xf>
    <xf numFmtId="0" fontId="29" fillId="0" borderId="18" xfId="334" applyFont="1" applyBorder="1" applyAlignment="1" applyProtection="1">
      <alignment horizontal="center" vertical="center" wrapText="1"/>
      <protection hidden="1"/>
    </xf>
    <xf numFmtId="0" fontId="29" fillId="0" borderId="28" xfId="334" applyFont="1" applyBorder="1" applyAlignment="1" applyProtection="1">
      <alignment horizontal="center" vertical="center" wrapText="1"/>
      <protection hidden="1"/>
    </xf>
    <xf numFmtId="0" fontId="30" fillId="0" borderId="10" xfId="334" applyFont="1" applyBorder="1" applyAlignment="1" applyProtection="1">
      <alignment horizontal="center" vertical="center" wrapText="1"/>
      <protection hidden="1"/>
    </xf>
    <xf numFmtId="2" fontId="30" fillId="0" borderId="50" xfId="334" applyNumberFormat="1" applyFont="1" applyBorder="1" applyAlignment="1" applyProtection="1">
      <alignment horizontal="center" vertical="center"/>
      <protection hidden="1"/>
    </xf>
    <xf numFmtId="2" fontId="30" fillId="0" borderId="51" xfId="334" applyNumberFormat="1" applyFont="1" applyBorder="1" applyAlignment="1" applyProtection="1">
      <alignment horizontal="center" vertical="center"/>
      <protection hidden="1"/>
    </xf>
    <xf numFmtId="2" fontId="30" fillId="0" borderId="34" xfId="334" applyNumberFormat="1" applyFont="1" applyBorder="1" applyAlignment="1" applyProtection="1">
      <alignment horizontal="center" vertical="center"/>
      <protection hidden="1"/>
    </xf>
    <xf numFmtId="2" fontId="30" fillId="0" borderId="29" xfId="334" applyNumberFormat="1" applyFont="1" applyBorder="1" applyAlignment="1" applyProtection="1">
      <alignment horizontal="center" vertical="center"/>
      <protection hidden="1"/>
    </xf>
    <xf numFmtId="2" fontId="30" fillId="0" borderId="30" xfId="334" applyNumberFormat="1" applyFont="1" applyBorder="1" applyAlignment="1" applyProtection="1">
      <alignment horizontal="center" vertical="center"/>
      <protection hidden="1"/>
    </xf>
    <xf numFmtId="2" fontId="30" fillId="0" borderId="31" xfId="334" applyNumberFormat="1" applyFont="1" applyBorder="1" applyAlignment="1" applyProtection="1">
      <alignment horizontal="center" vertical="center"/>
      <protection hidden="1"/>
    </xf>
    <xf numFmtId="0" fontId="30" fillId="0" borderId="23" xfId="330" applyFont="1" applyBorder="1" applyAlignment="1" applyProtection="1">
      <alignment horizontal="center" vertical="center" wrapText="1"/>
      <protection hidden="1"/>
    </xf>
    <xf numFmtId="0" fontId="30" fillId="0" borderId="24" xfId="330" applyFont="1" applyBorder="1" applyAlignment="1" applyProtection="1">
      <alignment horizontal="center" vertical="center" wrapText="1"/>
      <protection hidden="1"/>
    </xf>
    <xf numFmtId="0" fontId="30" fillId="0" borderId="25" xfId="330" applyFont="1" applyBorder="1" applyAlignment="1" applyProtection="1">
      <alignment horizontal="center" vertical="center" wrapText="1"/>
      <protection hidden="1"/>
    </xf>
    <xf numFmtId="0" fontId="30" fillId="0" borderId="35" xfId="330" applyFont="1" applyBorder="1" applyAlignment="1" applyProtection="1">
      <alignment horizontal="center" vertical="center" wrapText="1"/>
      <protection hidden="1"/>
    </xf>
    <xf numFmtId="0" fontId="29" fillId="0" borderId="26" xfId="330" applyFont="1" applyBorder="1" applyAlignment="1" applyProtection="1">
      <alignment horizontal="center" vertical="center" wrapText="1"/>
      <protection hidden="1"/>
    </xf>
    <xf numFmtId="0" fontId="29" fillId="0" borderId="18" xfId="330" applyFont="1" applyBorder="1" applyAlignment="1" applyProtection="1">
      <alignment horizontal="center" vertical="center" wrapText="1"/>
      <protection hidden="1"/>
    </xf>
    <xf numFmtId="0" fontId="29" fillId="0" borderId="28" xfId="330" applyFont="1" applyBorder="1" applyAlignment="1" applyProtection="1">
      <alignment horizontal="center" vertical="center" wrapText="1"/>
      <protection hidden="1"/>
    </xf>
    <xf numFmtId="0" fontId="34" fillId="0" borderId="10" xfId="334" applyFont="1" applyBorder="1" applyAlignment="1">
      <alignment horizontal="left" vertical="center" wrapText="1"/>
    </xf>
    <xf numFmtId="3" fontId="34" fillId="0" borderId="26" xfId="334" applyNumberFormat="1" applyFont="1" applyBorder="1" applyAlignment="1" applyProtection="1">
      <alignment horizontal="center" vertical="center"/>
      <protection hidden="1"/>
    </xf>
    <xf numFmtId="3" fontId="34" fillId="0" borderId="28" xfId="334" applyNumberFormat="1" applyFont="1" applyBorder="1" applyAlignment="1" applyProtection="1">
      <alignment horizontal="center" vertical="center"/>
      <protection hidden="1"/>
    </xf>
    <xf numFmtId="3" fontId="97" fillId="0" borderId="63" xfId="334" applyNumberFormat="1" applyFont="1" applyBorder="1" applyAlignment="1" applyProtection="1">
      <alignment horizontal="center" vertical="center" textRotation="60" wrapText="1"/>
      <protection hidden="1"/>
    </xf>
    <xf numFmtId="3" fontId="97" fillId="0" borderId="20" xfId="334" applyNumberFormat="1" applyFont="1" applyBorder="1" applyAlignment="1" applyProtection="1">
      <alignment horizontal="center" vertical="center" textRotation="60" wrapText="1"/>
      <protection hidden="1"/>
    </xf>
    <xf numFmtId="3" fontId="97" fillId="0" borderId="65" xfId="334" applyNumberFormat="1" applyFont="1" applyBorder="1" applyAlignment="1" applyProtection="1">
      <alignment horizontal="center" vertical="center" textRotation="60" wrapText="1"/>
      <protection hidden="1"/>
    </xf>
    <xf numFmtId="0" fontId="29" fillId="0" borderId="10" xfId="334" applyFont="1" applyBorder="1" applyAlignment="1" applyProtection="1">
      <alignment horizontal="center" vertical="center" wrapText="1"/>
      <protection hidden="1"/>
    </xf>
    <xf numFmtId="0" fontId="29" fillId="0" borderId="10" xfId="334" applyFont="1" applyFill="1" applyBorder="1" applyAlignment="1" applyProtection="1">
      <alignment horizontal="center" vertical="center" wrapText="1"/>
      <protection hidden="1"/>
    </xf>
    <xf numFmtId="0" fontId="30" fillId="0" borderId="0" xfId="357" applyFont="1" applyAlignment="1">
      <alignment horizontal="left" vertical="center" wrapText="1"/>
    </xf>
    <xf numFmtId="0" fontId="30" fillId="0" borderId="24" xfId="357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0" fillId="0" borderId="24" xfId="0" applyFont="1" applyBorder="1" applyAlignment="1">
      <alignment horizontal="left" vertical="center" wrapText="1"/>
    </xf>
    <xf numFmtId="3" fontId="30" fillId="0" borderId="10" xfId="334" applyNumberFormat="1" applyFont="1" applyFill="1" applyBorder="1" applyAlignment="1" applyProtection="1">
      <alignment horizontal="center" vertical="center" wrapText="1"/>
      <protection hidden="1"/>
    </xf>
    <xf numFmtId="3" fontId="34" fillId="0" borderId="10" xfId="334" applyNumberFormat="1" applyFont="1" applyFill="1" applyBorder="1" applyAlignment="1" applyProtection="1">
      <alignment horizontal="center" vertical="center"/>
      <protection hidden="1"/>
    </xf>
    <xf numFmtId="0" fontId="29" fillId="55" borderId="10" xfId="334" applyNumberFormat="1" applyFont="1" applyFill="1" applyBorder="1" applyAlignment="1" applyProtection="1">
      <alignment horizontal="center" vertical="center" wrapText="1"/>
      <protection hidden="1"/>
    </xf>
    <xf numFmtId="0" fontId="30" fillId="0" borderId="10" xfId="334" applyNumberFormat="1" applyFont="1" applyFill="1" applyBorder="1" applyAlignment="1" applyProtection="1">
      <alignment horizontal="center" vertical="center" wrapText="1"/>
      <protection hidden="1"/>
    </xf>
    <xf numFmtId="3" fontId="30" fillId="0" borderId="10" xfId="334" applyNumberFormat="1" applyFont="1" applyBorder="1" applyAlignment="1" applyProtection="1">
      <alignment horizontal="center" vertical="center" wrapText="1"/>
      <protection hidden="1"/>
    </xf>
    <xf numFmtId="0" fontId="30" fillId="0" borderId="0" xfId="0" applyFont="1" applyBorder="1" applyAlignment="1">
      <alignment horizontal="left" vertical="center" wrapText="1"/>
    </xf>
    <xf numFmtId="0" fontId="29" fillId="55" borderId="10" xfId="334" applyFont="1" applyFill="1" applyBorder="1" applyAlignment="1" applyProtection="1">
      <alignment horizontal="center" vertical="center" wrapText="1"/>
      <protection hidden="1"/>
    </xf>
    <xf numFmtId="0" fontId="29" fillId="47" borderId="10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left" vertical="top" wrapText="1"/>
    </xf>
    <xf numFmtId="0" fontId="30" fillId="0" borderId="18" xfId="0" applyFont="1" applyFill="1" applyBorder="1" applyAlignment="1">
      <alignment horizontal="left" vertical="top" wrapText="1"/>
    </xf>
    <xf numFmtId="0" fontId="30" fillId="0" borderId="23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center" vertical="center" wrapText="1"/>
    </xf>
    <xf numFmtId="3" fontId="34" fillId="0" borderId="26" xfId="0" applyNumberFormat="1" applyFont="1" applyFill="1" applyBorder="1" applyAlignment="1">
      <alignment horizontal="center" vertical="center"/>
    </xf>
    <xf numFmtId="3" fontId="34" fillId="0" borderId="18" xfId="0" applyNumberFormat="1" applyFont="1" applyFill="1" applyBorder="1" applyAlignment="1">
      <alignment horizontal="center" vertical="center"/>
    </xf>
    <xf numFmtId="3" fontId="34" fillId="0" borderId="28" xfId="0" applyNumberFormat="1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left" vertical="center"/>
    </xf>
    <xf numFmtId="0" fontId="29" fillId="47" borderId="26" xfId="0" applyFont="1" applyFill="1" applyBorder="1" applyAlignment="1">
      <alignment horizontal="center" vertical="center" wrapText="1"/>
    </xf>
    <xf numFmtId="0" fontId="29" fillId="47" borderId="18" xfId="0" applyFont="1" applyFill="1" applyBorder="1" applyAlignment="1">
      <alignment horizontal="center" vertical="center" wrapText="1"/>
    </xf>
    <xf numFmtId="0" fontId="29" fillId="47" borderId="28" xfId="0" applyFont="1" applyFill="1" applyBorder="1" applyAlignment="1">
      <alignment horizontal="center" vertical="center" wrapText="1"/>
    </xf>
    <xf numFmtId="3" fontId="30" fillId="0" borderId="26" xfId="0" applyNumberFormat="1" applyFont="1" applyFill="1" applyBorder="1" applyAlignment="1">
      <alignment horizontal="center" vertical="center"/>
    </xf>
    <xf numFmtId="3" fontId="30" fillId="0" borderId="18" xfId="0" applyNumberFormat="1" applyFont="1" applyFill="1" applyBorder="1" applyAlignment="1">
      <alignment horizontal="center" vertical="center"/>
    </xf>
    <xf numFmtId="3" fontId="30" fillId="0" borderId="28" xfId="0" applyNumberFormat="1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horizontal="center" vertical="center" wrapText="1"/>
    </xf>
    <xf numFmtId="0" fontId="29" fillId="47" borderId="54" xfId="0" applyFont="1" applyFill="1" applyBorder="1" applyAlignment="1">
      <alignment horizontal="left" vertical="center"/>
    </xf>
    <xf numFmtId="0" fontId="29" fillId="47" borderId="18" xfId="0" applyFont="1" applyFill="1" applyBorder="1" applyAlignment="1">
      <alignment horizontal="left" vertical="center"/>
    </xf>
    <xf numFmtId="0" fontId="29" fillId="47" borderId="28" xfId="0" applyFont="1" applyFill="1" applyBorder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34" fillId="0" borderId="26" xfId="0" applyFont="1" applyFill="1" applyBorder="1" applyAlignment="1">
      <alignment horizontal="left" vertical="top" wrapText="1"/>
    </xf>
    <xf numFmtId="0" fontId="34" fillId="0" borderId="18" xfId="0" applyFont="1" applyFill="1" applyBorder="1" applyAlignment="1">
      <alignment horizontal="left" vertical="top" wrapText="1"/>
    </xf>
    <xf numFmtId="0" fontId="34" fillId="0" borderId="28" xfId="0" applyFont="1" applyFill="1" applyBorder="1" applyAlignment="1">
      <alignment horizontal="left" vertical="top" wrapText="1"/>
    </xf>
    <xf numFmtId="0" fontId="30" fillId="0" borderId="10" xfId="0" applyFont="1" applyBorder="1" applyAlignment="1">
      <alignment horizontal="center"/>
    </xf>
    <xf numFmtId="0" fontId="29" fillId="47" borderId="17" xfId="0" applyFont="1" applyFill="1" applyBorder="1" applyAlignment="1">
      <alignment horizontal="center" vertical="center" wrapText="1"/>
    </xf>
    <xf numFmtId="0" fontId="29" fillId="47" borderId="15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29" fillId="47" borderId="26" xfId="0" applyFont="1" applyFill="1" applyBorder="1" applyAlignment="1">
      <alignment horizontal="left" vertical="center"/>
    </xf>
    <xf numFmtId="0" fontId="30" fillId="0" borderId="27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29" fillId="55" borderId="26" xfId="0" applyFont="1" applyFill="1" applyBorder="1" applyAlignment="1">
      <alignment horizontal="left" vertical="center" wrapText="1"/>
    </xf>
    <xf numFmtId="0" fontId="29" fillId="55" borderId="18" xfId="0" applyFont="1" applyFill="1" applyBorder="1" applyAlignment="1">
      <alignment horizontal="left" vertical="center" wrapText="1"/>
    </xf>
    <xf numFmtId="0" fontId="29" fillId="55" borderId="28" xfId="0" applyFont="1" applyFill="1" applyBorder="1" applyAlignment="1">
      <alignment horizontal="left" vertical="center" wrapText="1"/>
    </xf>
    <xf numFmtId="0" fontId="46" fillId="48" borderId="10" xfId="357" applyFont="1" applyFill="1" applyBorder="1" applyAlignment="1">
      <alignment horizontal="center" vertical="center" wrapText="1"/>
    </xf>
    <xf numFmtId="9" fontId="44" fillId="0" borderId="10" xfId="373" applyFont="1" applyBorder="1" applyAlignment="1">
      <alignment horizontal="center" vertical="center"/>
    </xf>
    <xf numFmtId="4" fontId="30" fillId="0" borderId="32" xfId="355" applyNumberFormat="1" applyFont="1" applyFill="1" applyBorder="1" applyAlignment="1">
      <alignment horizontal="center" vertical="center" wrapText="1"/>
    </xf>
    <xf numFmtId="4" fontId="30" fillId="0" borderId="38" xfId="355" applyNumberFormat="1" applyFont="1" applyFill="1" applyBorder="1" applyAlignment="1">
      <alignment horizontal="center" vertical="center" wrapText="1"/>
    </xf>
    <xf numFmtId="4" fontId="30" fillId="0" borderId="33" xfId="355" applyNumberFormat="1" applyFont="1" applyFill="1" applyBorder="1" applyAlignment="1">
      <alignment horizontal="center" vertical="center" wrapText="1"/>
    </xf>
    <xf numFmtId="4" fontId="30" fillId="0" borderId="34" xfId="355" applyNumberFormat="1" applyFont="1" applyFill="1" applyBorder="1" applyAlignment="1">
      <alignment horizontal="center" vertical="center" wrapText="1"/>
    </xf>
    <xf numFmtId="4" fontId="30" fillId="0" borderId="53" xfId="355" applyNumberFormat="1" applyFont="1" applyFill="1" applyBorder="1" applyAlignment="1">
      <alignment horizontal="center" vertical="center" wrapText="1"/>
    </xf>
    <xf numFmtId="4" fontId="30" fillId="0" borderId="29" xfId="355" applyNumberFormat="1" applyFont="1" applyFill="1" applyBorder="1" applyAlignment="1">
      <alignment horizontal="center" vertical="center" wrapText="1"/>
    </xf>
    <xf numFmtId="4" fontId="30" fillId="0" borderId="30" xfId="355" applyNumberFormat="1" applyFont="1" applyFill="1" applyBorder="1" applyAlignment="1">
      <alignment horizontal="center" vertical="center" wrapText="1"/>
    </xf>
    <xf numFmtId="4" fontId="30" fillId="0" borderId="37" xfId="355" applyNumberFormat="1" applyFont="1" applyFill="1" applyBorder="1" applyAlignment="1">
      <alignment horizontal="center" vertical="center" wrapText="1"/>
    </xf>
    <xf numFmtId="4" fontId="30" fillId="0" borderId="31" xfId="355" applyNumberFormat="1" applyFont="1" applyFill="1" applyBorder="1" applyAlignment="1">
      <alignment horizontal="center" vertical="center" wrapText="1"/>
    </xf>
    <xf numFmtId="2" fontId="29" fillId="0" borderId="21" xfId="184" applyNumberFormat="1" applyFont="1" applyFill="1" applyBorder="1" applyAlignment="1">
      <alignment horizontal="center" vertical="center" wrapText="1"/>
    </xf>
    <xf numFmtId="2" fontId="29" fillId="0" borderId="22" xfId="184" applyNumberFormat="1" applyFont="1" applyFill="1" applyBorder="1" applyAlignment="1">
      <alignment horizontal="center" vertical="center" wrapText="1"/>
    </xf>
    <xf numFmtId="2" fontId="29" fillId="0" borderId="23" xfId="184" applyNumberFormat="1" applyFont="1" applyFill="1" applyBorder="1" applyAlignment="1">
      <alignment horizontal="center" vertical="center" wrapText="1"/>
    </xf>
    <xf numFmtId="2" fontId="29" fillId="0" borderId="24" xfId="184" applyNumberFormat="1" applyFont="1" applyFill="1" applyBorder="1" applyAlignment="1">
      <alignment horizontal="center" vertical="center" wrapText="1"/>
    </xf>
    <xf numFmtId="2" fontId="29" fillId="0" borderId="25" xfId="184" applyNumberFormat="1" applyFont="1" applyFill="1" applyBorder="1" applyAlignment="1">
      <alignment horizontal="center" vertical="center" wrapText="1"/>
    </xf>
    <xf numFmtId="2" fontId="29" fillId="0" borderId="35" xfId="184" applyNumberFormat="1" applyFont="1" applyFill="1" applyBorder="1" applyAlignment="1">
      <alignment horizontal="center" vertical="center" wrapText="1"/>
    </xf>
    <xf numFmtId="2" fontId="29" fillId="0" borderId="10" xfId="184" applyNumberFormat="1" applyFont="1" applyFill="1" applyBorder="1" applyAlignment="1">
      <alignment horizontal="center" vertical="center" wrapText="1"/>
    </xf>
    <xf numFmtId="4" fontId="30" fillId="0" borderId="10" xfId="355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top" wrapText="1"/>
    </xf>
    <xf numFmtId="0" fontId="30" fillId="0" borderId="26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4" fillId="0" borderId="10" xfId="355" applyFont="1" applyBorder="1" applyAlignment="1">
      <alignment horizontal="center" vertical="center" wrapText="1"/>
    </xf>
    <xf numFmtId="0" fontId="34" fillId="0" borderId="17" xfId="355" applyFont="1" applyBorder="1" applyAlignment="1">
      <alignment horizontal="center" vertical="center" wrapText="1"/>
    </xf>
    <xf numFmtId="0" fontId="34" fillId="0" borderId="20" xfId="355" applyFont="1" applyBorder="1" applyAlignment="1">
      <alignment horizontal="center" vertical="center" wrapText="1"/>
    </xf>
    <xf numFmtId="0" fontId="34" fillId="0" borderId="15" xfId="355" applyFont="1" applyBorder="1" applyAlignment="1">
      <alignment horizontal="center" vertical="center" wrapText="1"/>
    </xf>
    <xf numFmtId="3" fontId="34" fillId="0" borderId="17" xfId="355" applyNumberFormat="1" applyFont="1" applyFill="1" applyBorder="1" applyAlignment="1">
      <alignment horizontal="center" vertical="center" wrapText="1"/>
    </xf>
    <xf numFmtId="3" fontId="34" fillId="0" borderId="20" xfId="355" applyNumberFormat="1" applyFont="1" applyFill="1" applyBorder="1" applyAlignment="1">
      <alignment horizontal="center" vertical="center" wrapText="1"/>
    </xf>
    <xf numFmtId="3" fontId="34" fillId="0" borderId="15" xfId="355" applyNumberFormat="1" applyFont="1" applyFill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center" vertical="center" wrapText="1"/>
    </xf>
    <xf numFmtId="0" fontId="29" fillId="55" borderId="17" xfId="0" applyFont="1" applyFill="1" applyBorder="1" applyAlignment="1">
      <alignment horizontal="center" vertical="center" wrapText="1"/>
    </xf>
    <xf numFmtId="0" fontId="29" fillId="55" borderId="15" xfId="0" applyFont="1" applyFill="1" applyBorder="1" applyAlignment="1">
      <alignment horizontal="center" vertical="center" wrapText="1"/>
    </xf>
    <xf numFmtId="0" fontId="105" fillId="55" borderId="26" xfId="0" applyFont="1" applyFill="1" applyBorder="1" applyAlignment="1">
      <alignment horizontal="center" vertical="center"/>
    </xf>
    <xf numFmtId="0" fontId="105" fillId="55" borderId="18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9" fontId="108" fillId="0" borderId="10" xfId="373" applyFont="1" applyBorder="1" applyAlignment="1">
      <alignment horizontal="center" vertical="center"/>
    </xf>
    <xf numFmtId="0" fontId="105" fillId="47" borderId="73" xfId="0" applyFont="1" applyFill="1" applyBorder="1" applyAlignment="1">
      <alignment horizontal="center" vertical="center" wrapText="1"/>
    </xf>
    <xf numFmtId="0" fontId="65" fillId="0" borderId="21" xfId="0" applyFont="1" applyFill="1" applyBorder="1" applyAlignment="1">
      <alignment horizontal="left" vertical="center" wrapText="1"/>
    </xf>
    <xf numFmtId="0" fontId="65" fillId="0" borderId="19" xfId="0" applyFont="1" applyFill="1" applyBorder="1" applyAlignment="1">
      <alignment horizontal="left" vertical="center" wrapText="1"/>
    </xf>
    <xf numFmtId="0" fontId="65" fillId="0" borderId="22" xfId="0" applyFont="1" applyFill="1" applyBorder="1" applyAlignment="1">
      <alignment horizontal="left" vertical="center" wrapText="1"/>
    </xf>
    <xf numFmtId="0" fontId="65" fillId="0" borderId="23" xfId="0" applyFont="1" applyFill="1" applyBorder="1" applyAlignment="1">
      <alignment horizontal="left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24" xfId="0" applyFont="1" applyFill="1" applyBorder="1" applyAlignment="1">
      <alignment horizontal="left" vertical="center" wrapText="1"/>
    </xf>
    <xf numFmtId="0" fontId="65" fillId="0" borderId="25" xfId="0" applyFont="1" applyFill="1" applyBorder="1" applyAlignment="1">
      <alignment horizontal="left" vertical="center" wrapText="1"/>
    </xf>
    <xf numFmtId="0" fontId="65" fillId="0" borderId="16" xfId="0" applyFont="1" applyFill="1" applyBorder="1" applyAlignment="1">
      <alignment horizontal="left" vertical="center" wrapText="1"/>
    </xf>
    <xf numFmtId="0" fontId="65" fillId="0" borderId="35" xfId="0" applyFont="1" applyFill="1" applyBorder="1" applyAlignment="1">
      <alignment horizontal="left" vertical="center" wrapText="1"/>
    </xf>
    <xf numFmtId="0" fontId="105" fillId="50" borderId="26" xfId="0" applyFont="1" applyFill="1" applyBorder="1" applyAlignment="1">
      <alignment horizontal="center" vertical="center"/>
    </xf>
    <xf numFmtId="0" fontId="105" fillId="50" borderId="28" xfId="0" applyFont="1" applyFill="1" applyBorder="1" applyAlignment="1">
      <alignment horizontal="center" vertical="center"/>
    </xf>
    <xf numFmtId="0" fontId="105" fillId="50" borderId="18" xfId="0" applyFont="1" applyFill="1" applyBorder="1" applyAlignment="1">
      <alignment horizontal="center" vertical="center"/>
    </xf>
    <xf numFmtId="1" fontId="34" fillId="0" borderId="21" xfId="0" applyNumberFormat="1" applyFont="1" applyBorder="1" applyAlignment="1">
      <alignment horizontal="center" vertical="center" wrapText="1"/>
    </xf>
    <xf numFmtId="1" fontId="34" fillId="0" borderId="22" xfId="0" applyNumberFormat="1" applyFont="1" applyBorder="1" applyAlignment="1">
      <alignment horizontal="center" vertical="center" wrapText="1"/>
    </xf>
    <xf numFmtId="1" fontId="34" fillId="0" borderId="23" xfId="0" applyNumberFormat="1" applyFont="1" applyBorder="1" applyAlignment="1">
      <alignment horizontal="center" vertical="center" wrapText="1"/>
    </xf>
    <xf numFmtId="1" fontId="34" fillId="0" borderId="24" xfId="0" applyNumberFormat="1" applyFont="1" applyBorder="1" applyAlignment="1">
      <alignment horizontal="center" vertical="center" wrapText="1"/>
    </xf>
    <xf numFmtId="1" fontId="34" fillId="0" borderId="25" xfId="0" applyNumberFormat="1" applyFont="1" applyBorder="1" applyAlignment="1">
      <alignment horizontal="center" vertical="center" wrapText="1"/>
    </xf>
    <xf numFmtId="1" fontId="34" fillId="0" borderId="35" xfId="0" applyNumberFormat="1" applyFont="1" applyBorder="1" applyAlignment="1">
      <alignment horizontal="center" vertical="center" wrapText="1"/>
    </xf>
    <xf numFmtId="1" fontId="33" fillId="0" borderId="10" xfId="0" applyNumberFormat="1" applyFont="1" applyBorder="1" applyAlignment="1">
      <alignment horizontal="center" vertical="center" wrapText="1"/>
    </xf>
    <xf numFmtId="2" fontId="33" fillId="0" borderId="10" xfId="0" applyNumberFormat="1" applyFont="1" applyBorder="1" applyAlignment="1">
      <alignment horizontal="center" vertical="center" wrapText="1"/>
    </xf>
    <xf numFmtId="0" fontId="78" fillId="0" borderId="21" xfId="0" applyFont="1" applyFill="1" applyBorder="1" applyAlignment="1">
      <alignment horizontal="center" vertical="center" wrapText="1"/>
    </xf>
    <xf numFmtId="0" fontId="78" fillId="0" borderId="19" xfId="0" applyFont="1" applyFill="1" applyBorder="1" applyAlignment="1">
      <alignment horizontal="center" vertical="center" wrapText="1"/>
    </xf>
    <xf numFmtId="0" fontId="78" fillId="0" borderId="74" xfId="0" applyFont="1" applyFill="1" applyBorder="1" applyAlignment="1">
      <alignment horizontal="center" vertical="center" wrapText="1"/>
    </xf>
    <xf numFmtId="0" fontId="29" fillId="55" borderId="10" xfId="0" applyFont="1" applyFill="1" applyBorder="1" applyAlignment="1">
      <alignment horizontal="center" vertical="center"/>
    </xf>
    <xf numFmtId="0" fontId="105" fillId="55" borderId="10" xfId="0" applyFont="1" applyFill="1" applyBorder="1" applyAlignment="1">
      <alignment horizontal="center" vertical="center"/>
    </xf>
    <xf numFmtId="0" fontId="105" fillId="47" borderId="10" xfId="0" applyFont="1" applyFill="1" applyBorder="1" applyAlignment="1">
      <alignment horizontal="center" vertical="center" wrapText="1"/>
    </xf>
    <xf numFmtId="0" fontId="29" fillId="50" borderId="26" xfId="0" applyFont="1" applyFill="1" applyBorder="1" applyAlignment="1">
      <alignment horizontal="center" vertical="center"/>
    </xf>
    <xf numFmtId="0" fontId="29" fillId="50" borderId="18" xfId="0" applyFont="1" applyFill="1" applyBorder="1" applyAlignment="1">
      <alignment horizontal="center" vertical="center"/>
    </xf>
    <xf numFmtId="2" fontId="29" fillId="0" borderId="21" xfId="0" applyNumberFormat="1" applyFont="1" applyBorder="1" applyAlignment="1">
      <alignment horizontal="center" vertical="center" wrapText="1"/>
    </xf>
    <xf numFmtId="2" fontId="29" fillId="0" borderId="22" xfId="0" applyNumberFormat="1" applyFont="1" applyBorder="1" applyAlignment="1">
      <alignment horizontal="center" vertical="center" wrapText="1"/>
    </xf>
    <xf numFmtId="2" fontId="29" fillId="0" borderId="23" xfId="0" applyNumberFormat="1" applyFont="1" applyBorder="1" applyAlignment="1">
      <alignment horizontal="center" vertical="center" wrapText="1"/>
    </xf>
    <xf numFmtId="2" fontId="29" fillId="0" borderId="24" xfId="0" applyNumberFormat="1" applyFont="1" applyBorder="1" applyAlignment="1">
      <alignment horizontal="center" vertical="center" wrapText="1"/>
    </xf>
    <xf numFmtId="2" fontId="29" fillId="0" borderId="25" xfId="0" applyNumberFormat="1" applyFont="1" applyBorder="1" applyAlignment="1">
      <alignment horizontal="center" vertical="center" wrapText="1"/>
    </xf>
    <xf numFmtId="2" fontId="29" fillId="0" borderId="35" xfId="0" applyNumberFormat="1" applyFont="1" applyBorder="1" applyAlignment="1">
      <alignment horizontal="center" vertical="center" wrapText="1"/>
    </xf>
    <xf numFmtId="1" fontId="30" fillId="0" borderId="32" xfId="0" applyNumberFormat="1" applyFont="1" applyFill="1" applyBorder="1" applyAlignment="1">
      <alignment horizontal="center" vertical="center" wrapText="1"/>
    </xf>
    <xf numFmtId="1" fontId="30" fillId="0" borderId="33" xfId="0" applyNumberFormat="1" applyFont="1" applyFill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 wrapText="1"/>
    </xf>
    <xf numFmtId="0" fontId="30" fillId="0" borderId="38" xfId="0" applyFont="1" applyFill="1" applyBorder="1" applyAlignment="1">
      <alignment horizontal="center" vertical="center" wrapText="1"/>
    </xf>
    <xf numFmtId="0" fontId="65" fillId="0" borderId="73" xfId="0" applyFont="1" applyFill="1" applyBorder="1" applyAlignment="1">
      <alignment horizontal="left" vertical="center" wrapText="1"/>
    </xf>
    <xf numFmtId="0" fontId="65" fillId="0" borderId="10" xfId="0" applyFont="1" applyFill="1" applyBorder="1" applyAlignment="1">
      <alignment horizontal="left" vertical="center" wrapText="1"/>
    </xf>
    <xf numFmtId="1" fontId="30" fillId="0" borderId="30" xfId="0" applyNumberFormat="1" applyFont="1" applyFill="1" applyBorder="1" applyAlignment="1">
      <alignment horizontal="center" vertical="center" wrapText="1"/>
    </xf>
    <xf numFmtId="1" fontId="30" fillId="0" borderId="31" xfId="0" applyNumberFormat="1" applyFont="1" applyFill="1" applyBorder="1" applyAlignment="1">
      <alignment horizontal="center" vertical="center" wrapText="1"/>
    </xf>
    <xf numFmtId="0" fontId="30" fillId="0" borderId="30" xfId="0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 wrapText="1"/>
    </xf>
    <xf numFmtId="0" fontId="30" fillId="0" borderId="33" xfId="0" applyFont="1" applyFill="1" applyBorder="1" applyAlignment="1">
      <alignment horizontal="center" vertical="center" wrapText="1"/>
    </xf>
    <xf numFmtId="1" fontId="30" fillId="0" borderId="38" xfId="0" applyNumberFormat="1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center" vertical="center" wrapText="1"/>
    </xf>
    <xf numFmtId="1" fontId="30" fillId="0" borderId="37" xfId="0" applyNumberFormat="1" applyFont="1" applyFill="1" applyBorder="1" applyAlignment="1">
      <alignment horizontal="center" vertical="center" wrapText="1"/>
    </xf>
    <xf numFmtId="0" fontId="78" fillId="47" borderId="21" xfId="0" applyFont="1" applyFill="1" applyBorder="1" applyAlignment="1">
      <alignment horizontal="center" vertical="center" wrapText="1"/>
    </xf>
    <xf numFmtId="0" fontId="78" fillId="47" borderId="19" xfId="0" applyFont="1" applyFill="1" applyBorder="1" applyAlignment="1">
      <alignment horizontal="center" vertical="center" wrapText="1"/>
    </xf>
    <xf numFmtId="0" fontId="78" fillId="47" borderId="22" xfId="0" applyFont="1" applyFill="1" applyBorder="1" applyAlignment="1">
      <alignment horizontal="center" vertical="center" wrapText="1"/>
    </xf>
    <xf numFmtId="0" fontId="78" fillId="47" borderId="50" xfId="0" applyFont="1" applyFill="1" applyBorder="1" applyAlignment="1">
      <alignment horizontal="center" vertical="center" wrapText="1"/>
    </xf>
    <xf numFmtId="0" fontId="78" fillId="47" borderId="52" xfId="0" applyFont="1" applyFill="1" applyBorder="1" applyAlignment="1">
      <alignment horizontal="center" vertical="center" wrapText="1"/>
    </xf>
    <xf numFmtId="0" fontId="78" fillId="47" borderId="51" xfId="0" applyFont="1" applyFill="1" applyBorder="1" applyAlignment="1">
      <alignment horizontal="center" vertical="center" wrapText="1"/>
    </xf>
    <xf numFmtId="0" fontId="29" fillId="47" borderId="20" xfId="0" applyFont="1" applyFill="1" applyBorder="1" applyAlignment="1">
      <alignment horizontal="center" vertical="center" wrapText="1"/>
    </xf>
    <xf numFmtId="0" fontId="29" fillId="47" borderId="26" xfId="0" applyFont="1" applyFill="1" applyBorder="1" applyAlignment="1">
      <alignment horizontal="center" vertical="center"/>
    </xf>
    <xf numFmtId="0" fontId="29" fillId="47" borderId="18" xfId="0" applyFont="1" applyFill="1" applyBorder="1" applyAlignment="1">
      <alignment horizontal="center" vertical="center"/>
    </xf>
    <xf numFmtId="0" fontId="29" fillId="47" borderId="15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47" borderId="28" xfId="0" applyFont="1" applyFill="1" applyBorder="1" applyAlignment="1">
      <alignment horizontal="center" vertical="center"/>
    </xf>
    <xf numFmtId="0" fontId="29" fillId="50" borderId="28" xfId="0" applyFont="1" applyFill="1" applyBorder="1" applyAlignment="1">
      <alignment horizontal="center" vertical="center"/>
    </xf>
    <xf numFmtId="0" fontId="29" fillId="47" borderId="25" xfId="0" applyFont="1" applyFill="1" applyBorder="1" applyAlignment="1">
      <alignment horizontal="center" vertical="center" wrapText="1"/>
    </xf>
    <xf numFmtId="0" fontId="29" fillId="47" borderId="35" xfId="0" applyFont="1" applyFill="1" applyBorder="1" applyAlignment="1">
      <alignment horizontal="center" vertical="center" wrapText="1"/>
    </xf>
    <xf numFmtId="0" fontId="29" fillId="50" borderId="26" xfId="0" applyFont="1" applyFill="1" applyBorder="1" applyAlignment="1">
      <alignment horizontal="center" vertical="center" wrapText="1"/>
    </xf>
    <xf numFmtId="0" fontId="29" fillId="50" borderId="28" xfId="0" applyFont="1" applyFill="1" applyBorder="1" applyAlignment="1">
      <alignment horizontal="center" vertical="center" wrapText="1"/>
    </xf>
    <xf numFmtId="0" fontId="65" fillId="0" borderId="10" xfId="0" applyFont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left" vertical="center" indent="5"/>
    </xf>
    <xf numFmtId="0" fontId="34" fillId="0" borderId="31" xfId="0" applyFont="1" applyFill="1" applyBorder="1" applyAlignment="1">
      <alignment horizontal="left" vertical="center" indent="5"/>
    </xf>
    <xf numFmtId="0" fontId="30" fillId="0" borderId="30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1" fontId="34" fillId="0" borderId="34" xfId="0" applyNumberFormat="1" applyFont="1" applyBorder="1" applyAlignment="1">
      <alignment horizontal="center" vertical="center"/>
    </xf>
    <xf numFmtId="1" fontId="34" fillId="0" borderId="29" xfId="0" applyNumberFormat="1" applyFont="1" applyBorder="1" applyAlignment="1">
      <alignment horizontal="center" vertical="center"/>
    </xf>
    <xf numFmtId="0" fontId="34" fillId="0" borderId="34" xfId="0" applyFont="1" applyFill="1" applyBorder="1" applyAlignment="1">
      <alignment horizontal="left" vertical="center" indent="5"/>
    </xf>
    <xf numFmtId="0" fontId="34" fillId="0" borderId="29" xfId="0" applyFont="1" applyFill="1" applyBorder="1" applyAlignment="1">
      <alignment horizontal="left" vertical="center" indent="5"/>
    </xf>
    <xf numFmtId="1" fontId="34" fillId="0" borderId="34" xfId="0" applyNumberFormat="1" applyFont="1" applyBorder="1" applyAlignment="1">
      <alignment horizontal="center" vertical="center" wrapText="1"/>
    </xf>
    <xf numFmtId="1" fontId="34" fillId="0" borderId="29" xfId="0" applyNumberFormat="1" applyFont="1" applyBorder="1" applyAlignment="1">
      <alignment horizontal="center" vertical="center" wrapText="1"/>
    </xf>
    <xf numFmtId="1" fontId="34" fillId="0" borderId="32" xfId="0" applyNumberFormat="1" applyFont="1" applyFill="1" applyBorder="1" applyAlignment="1">
      <alignment horizontal="center" vertical="center"/>
    </xf>
    <xf numFmtId="1" fontId="34" fillId="0" borderId="33" xfId="0" applyNumberFormat="1" applyFont="1" applyFill="1" applyBorder="1" applyAlignment="1">
      <alignment horizontal="center" vertical="center"/>
    </xf>
    <xf numFmtId="0" fontId="34" fillId="0" borderId="32" xfId="0" applyFont="1" applyFill="1" applyBorder="1" applyAlignment="1">
      <alignment horizontal="left" vertical="center" indent="5"/>
    </xf>
    <xf numFmtId="0" fontId="34" fillId="0" borderId="33" xfId="0" applyFont="1" applyFill="1" applyBorder="1" applyAlignment="1">
      <alignment horizontal="left" vertical="center" indent="5"/>
    </xf>
    <xf numFmtId="1" fontId="34" fillId="0" borderId="55" xfId="0" applyNumberFormat="1" applyFont="1" applyBorder="1" applyAlignment="1">
      <alignment horizontal="center" vertical="center" wrapText="1"/>
    </xf>
    <xf numFmtId="1" fontId="34" fillId="0" borderId="57" xfId="0" applyNumberFormat="1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6" fillId="0" borderId="16" xfId="356" applyFont="1" applyBorder="1" applyAlignment="1" applyProtection="1">
      <alignment horizontal="center"/>
      <protection hidden="1"/>
    </xf>
    <xf numFmtId="0" fontId="30" fillId="0" borderId="50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 vertical="center"/>
    </xf>
    <xf numFmtId="0" fontId="30" fillId="0" borderId="21" xfId="0" applyFont="1" applyFill="1" applyBorder="1" applyAlignment="1">
      <alignment horizontal="left" vertical="center" wrapText="1"/>
    </xf>
    <xf numFmtId="0" fontId="30" fillId="0" borderId="22" xfId="0" applyFont="1" applyFill="1" applyBorder="1" applyAlignment="1">
      <alignment horizontal="left" vertical="center" wrapText="1"/>
    </xf>
    <xf numFmtId="0" fontId="30" fillId="0" borderId="23" xfId="0" applyFont="1" applyFill="1" applyBorder="1" applyAlignment="1">
      <alignment horizontal="left" vertical="center" wrapText="1"/>
    </xf>
    <xf numFmtId="0" fontId="30" fillId="0" borderId="24" xfId="0" applyFont="1" applyFill="1" applyBorder="1" applyAlignment="1">
      <alignment horizontal="left" vertical="center" wrapText="1"/>
    </xf>
    <xf numFmtId="0" fontId="30" fillId="0" borderId="25" xfId="0" applyFont="1" applyFill="1" applyBorder="1" applyAlignment="1">
      <alignment horizontal="left" vertical="center" wrapText="1"/>
    </xf>
    <xf numFmtId="0" fontId="30" fillId="0" borderId="35" xfId="0" applyFont="1" applyFill="1" applyBorder="1" applyAlignment="1">
      <alignment horizontal="left" vertical="center" wrapText="1"/>
    </xf>
    <xf numFmtId="0" fontId="30" fillId="0" borderId="19" xfId="334" applyFont="1" applyBorder="1" applyAlignment="1" applyProtection="1">
      <alignment horizontal="center" vertical="center" wrapText="1"/>
      <protection hidden="1"/>
    </xf>
    <xf numFmtId="0" fontId="30" fillId="0" borderId="0" xfId="334" applyFont="1" applyBorder="1" applyAlignment="1" applyProtection="1">
      <alignment horizontal="center" vertical="center" wrapText="1"/>
      <protection hidden="1"/>
    </xf>
    <xf numFmtId="0" fontId="30" fillId="0" borderId="0" xfId="0" applyFont="1" applyFill="1" applyAlignment="1">
      <alignment horizontal="left" vertical="center" wrapText="1"/>
    </xf>
    <xf numFmtId="0" fontId="65" fillId="49" borderId="0" xfId="0" applyFont="1" applyFill="1" applyBorder="1" applyAlignment="1">
      <alignment horizontal="center" vertical="center"/>
    </xf>
    <xf numFmtId="0" fontId="29" fillId="0" borderId="20" xfId="0" applyFont="1" applyBorder="1" applyAlignment="1">
      <alignment horizontal="center" vertical="center" wrapText="1"/>
    </xf>
    <xf numFmtId="0" fontId="30" fillId="0" borderId="10" xfId="305" applyFont="1" applyFill="1" applyBorder="1" applyAlignment="1">
      <alignment horizontal="center" vertical="center" wrapText="1"/>
    </xf>
    <xf numFmtId="0" fontId="30" fillId="0" borderId="10" xfId="305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center" vertical="center"/>
    </xf>
    <xf numFmtId="0" fontId="30" fillId="0" borderId="19" xfId="0" applyFont="1" applyFill="1" applyBorder="1" applyAlignment="1">
      <alignment horizontal="left" vertical="center" wrapText="1"/>
    </xf>
    <xf numFmtId="0" fontId="30" fillId="0" borderId="16" xfId="0" applyFont="1" applyFill="1" applyBorder="1" applyAlignment="1">
      <alignment horizontal="left" vertical="center" wrapText="1"/>
    </xf>
    <xf numFmtId="3" fontId="30" fillId="0" borderId="17" xfId="0" applyNumberFormat="1" applyFont="1" applyFill="1" applyBorder="1" applyAlignment="1">
      <alignment horizontal="center" vertical="center"/>
    </xf>
    <xf numFmtId="3" fontId="30" fillId="0" borderId="20" xfId="0" applyNumberFormat="1" applyFont="1" applyFill="1" applyBorder="1" applyAlignment="1">
      <alignment horizontal="center" vertical="center"/>
    </xf>
    <xf numFmtId="3" fontId="30" fillId="0" borderId="15" xfId="0" applyNumberFormat="1" applyFont="1" applyFill="1" applyBorder="1" applyAlignment="1">
      <alignment horizontal="center" vertical="center"/>
    </xf>
    <xf numFmtId="0" fontId="29" fillId="0" borderId="10" xfId="305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/>
    </xf>
    <xf numFmtId="166" fontId="30" fillId="59" borderId="12" xfId="0" applyNumberFormat="1" applyFont="1" applyFill="1" applyBorder="1" applyAlignment="1" applyProtection="1">
      <alignment horizontal="center" vertical="center"/>
      <protection hidden="1"/>
    </xf>
    <xf numFmtId="0" fontId="87" fillId="59" borderId="12" xfId="0" applyFont="1" applyFill="1" applyBorder="1" applyAlignment="1" applyProtection="1">
      <alignment horizontal="center" vertical="center"/>
      <protection hidden="1"/>
    </xf>
    <xf numFmtId="0" fontId="88" fillId="59" borderId="12" xfId="0" applyFont="1" applyFill="1" applyBorder="1" applyAlignment="1" applyProtection="1">
      <alignment horizontal="center" vertical="center"/>
      <protection hidden="1"/>
    </xf>
    <xf numFmtId="2" fontId="87" fillId="59" borderId="12" xfId="0" applyNumberFormat="1" applyFont="1" applyFill="1" applyBorder="1" applyAlignment="1" applyProtection="1">
      <alignment horizontal="center" vertical="center"/>
      <protection hidden="1"/>
    </xf>
    <xf numFmtId="1" fontId="87" fillId="59" borderId="12" xfId="0" applyNumberFormat="1" applyFont="1" applyFill="1" applyBorder="1" applyAlignment="1" applyProtection="1">
      <alignment horizontal="center" vertical="center"/>
      <protection hidden="1"/>
    </xf>
    <xf numFmtId="1" fontId="30" fillId="59" borderId="12" xfId="0" applyNumberFormat="1" applyFont="1" applyFill="1" applyBorder="1" applyAlignment="1" applyProtection="1">
      <alignment horizontal="center" vertical="center" wrapText="1"/>
      <protection hidden="1"/>
    </xf>
    <xf numFmtId="1" fontId="30" fillId="59" borderId="20" xfId="0" applyNumberFormat="1" applyFont="1" applyFill="1" applyBorder="1" applyAlignment="1" applyProtection="1">
      <alignment horizontal="center" vertical="center" wrapText="1"/>
      <protection hidden="1"/>
    </xf>
    <xf numFmtId="3" fontId="87" fillId="59" borderId="12" xfId="0" applyNumberFormat="1" applyFont="1" applyFill="1" applyBorder="1" applyAlignment="1" applyProtection="1">
      <alignment horizontal="center" vertical="center" wrapText="1"/>
      <protection hidden="1"/>
    </xf>
    <xf numFmtId="0" fontId="30" fillId="59" borderId="12" xfId="0" applyNumberFormat="1" applyFont="1" applyFill="1" applyBorder="1" applyAlignment="1" applyProtection="1">
      <alignment horizontal="center" vertical="center" wrapText="1"/>
      <protection hidden="1"/>
    </xf>
    <xf numFmtId="1" fontId="34" fillId="59" borderId="20" xfId="0" applyNumberFormat="1" applyFont="1" applyFill="1" applyBorder="1" applyAlignment="1" applyProtection="1">
      <alignment horizontal="center" vertical="center" wrapText="1"/>
      <protection hidden="1"/>
    </xf>
    <xf numFmtId="0" fontId="29" fillId="59" borderId="17" xfId="0" applyFont="1" applyFill="1" applyBorder="1" applyAlignment="1" applyProtection="1">
      <alignment horizontal="center" vertical="center"/>
      <protection hidden="1"/>
    </xf>
    <xf numFmtId="0" fontId="29" fillId="59" borderId="10" xfId="0" applyFont="1" applyFill="1" applyBorder="1" applyAlignment="1" applyProtection="1">
      <alignment horizontal="center" vertical="center" wrapText="1"/>
      <protection hidden="1"/>
    </xf>
    <xf numFmtId="0" fontId="70" fillId="59" borderId="17" xfId="0" applyFont="1" applyFill="1" applyBorder="1" applyAlignment="1" applyProtection="1">
      <alignment horizontal="center" vertical="center" wrapText="1"/>
      <protection hidden="1"/>
    </xf>
    <xf numFmtId="0" fontId="29" fillId="59" borderId="17" xfId="0" applyFont="1" applyFill="1" applyBorder="1" applyAlignment="1" applyProtection="1">
      <alignment horizontal="center" vertical="center" wrapText="1"/>
      <protection hidden="1"/>
    </xf>
    <xf numFmtId="0" fontId="29" fillId="59" borderId="21" xfId="0" applyFont="1" applyFill="1" applyBorder="1" applyAlignment="1" applyProtection="1">
      <alignment horizontal="center" vertical="center" wrapText="1"/>
      <protection hidden="1"/>
    </xf>
    <xf numFmtId="0" fontId="29" fillId="59" borderId="22" xfId="0" applyFont="1" applyFill="1" applyBorder="1" applyAlignment="1" applyProtection="1">
      <alignment horizontal="center" vertical="center" wrapText="1"/>
      <protection hidden="1"/>
    </xf>
    <xf numFmtId="0" fontId="70" fillId="59" borderId="26" xfId="0" applyFont="1" applyFill="1" applyBorder="1" applyAlignment="1">
      <alignment horizontal="center" vertical="center" wrapText="1"/>
    </xf>
    <xf numFmtId="0" fontId="70" fillId="59" borderId="28" xfId="0" applyFont="1" applyFill="1" applyBorder="1" applyAlignment="1">
      <alignment horizontal="center" vertical="center" wrapText="1"/>
    </xf>
    <xf numFmtId="0" fontId="29" fillId="59" borderId="15" xfId="0" applyFont="1" applyFill="1" applyBorder="1" applyAlignment="1" applyProtection="1">
      <alignment horizontal="center" vertical="center"/>
      <protection hidden="1"/>
    </xf>
    <xf numFmtId="0" fontId="70" fillId="59" borderId="15" xfId="0" applyFont="1" applyFill="1" applyBorder="1" applyAlignment="1" applyProtection="1">
      <alignment horizontal="center" vertical="center" wrapText="1"/>
      <protection hidden="1"/>
    </xf>
    <xf numFmtId="0" fontId="29" fillId="59" borderId="15" xfId="0" applyFont="1" applyFill="1" applyBorder="1" applyAlignment="1" applyProtection="1">
      <alignment horizontal="center" vertical="center" wrapText="1"/>
      <protection hidden="1"/>
    </xf>
    <xf numFmtId="0" fontId="29" fillId="59" borderId="10" xfId="0" applyFont="1" applyFill="1" applyBorder="1" applyAlignment="1" applyProtection="1">
      <alignment horizontal="center" vertical="center" wrapText="1"/>
      <protection hidden="1"/>
    </xf>
    <xf numFmtId="0" fontId="29" fillId="59" borderId="25" xfId="0" applyFont="1" applyFill="1" applyBorder="1" applyAlignment="1" applyProtection="1">
      <alignment horizontal="center" vertical="center" wrapText="1"/>
      <protection hidden="1"/>
    </xf>
    <xf numFmtId="0" fontId="29" fillId="59" borderId="35" xfId="0" applyFont="1" applyFill="1" applyBorder="1" applyAlignment="1" applyProtection="1">
      <alignment horizontal="center" vertical="center" wrapText="1"/>
      <protection hidden="1"/>
    </xf>
    <xf numFmtId="3" fontId="29" fillId="59" borderId="10" xfId="0" applyNumberFormat="1" applyFont="1" applyFill="1" applyBorder="1" applyAlignment="1" applyProtection="1">
      <alignment horizontal="center" vertical="center" wrapText="1"/>
      <protection hidden="1"/>
    </xf>
    <xf numFmtId="0" fontId="83" fillId="60" borderId="0" xfId="0" applyFont="1" applyFill="1" applyBorder="1" applyAlignment="1">
      <alignment horizontal="center" vertical="center"/>
    </xf>
    <xf numFmtId="0" fontId="29" fillId="58" borderId="17" xfId="0" applyFont="1" applyFill="1" applyBorder="1" applyAlignment="1" applyProtection="1">
      <alignment horizontal="center" vertical="center"/>
      <protection hidden="1"/>
    </xf>
    <xf numFmtId="0" fontId="29" fillId="58" borderId="10" xfId="0" applyFont="1" applyFill="1" applyBorder="1" applyAlignment="1" applyProtection="1">
      <alignment horizontal="center" vertical="center" wrapText="1"/>
      <protection hidden="1"/>
    </xf>
    <xf numFmtId="0" fontId="70" fillId="58" borderId="17" xfId="0" applyFont="1" applyFill="1" applyBorder="1" applyAlignment="1" applyProtection="1">
      <alignment horizontal="center" vertical="center" wrapText="1"/>
      <protection hidden="1"/>
    </xf>
    <xf numFmtId="0" fontId="29" fillId="58" borderId="17" xfId="0" applyFont="1" applyFill="1" applyBorder="1" applyAlignment="1" applyProtection="1">
      <alignment horizontal="center" vertical="center" wrapText="1"/>
      <protection hidden="1"/>
    </xf>
    <xf numFmtId="0" fontId="29" fillId="58" borderId="21" xfId="0" applyFont="1" applyFill="1" applyBorder="1" applyAlignment="1" applyProtection="1">
      <alignment horizontal="center" vertical="center" wrapText="1"/>
      <protection hidden="1"/>
    </xf>
    <xf numFmtId="0" fontId="29" fillId="58" borderId="22" xfId="0" applyFont="1" applyFill="1" applyBorder="1" applyAlignment="1" applyProtection="1">
      <alignment horizontal="center" vertical="center" wrapText="1"/>
      <protection hidden="1"/>
    </xf>
    <xf numFmtId="0" fontId="29" fillId="58" borderId="23" xfId="0" applyFont="1" applyFill="1" applyBorder="1" applyAlignment="1" applyProtection="1">
      <alignment horizontal="center" vertical="center" wrapText="1"/>
      <protection hidden="1"/>
    </xf>
    <xf numFmtId="0" fontId="29" fillId="58" borderId="24" xfId="0" applyFont="1" applyFill="1" applyBorder="1" applyAlignment="1" applyProtection="1">
      <alignment horizontal="center" vertical="center" wrapText="1"/>
      <protection hidden="1"/>
    </xf>
    <xf numFmtId="0" fontId="70" fillId="58" borderId="26" xfId="0" applyFont="1" applyFill="1" applyBorder="1" applyAlignment="1">
      <alignment horizontal="center" vertical="center" wrapText="1"/>
    </xf>
    <xf numFmtId="0" fontId="70" fillId="58" borderId="28" xfId="0" applyFont="1" applyFill="1" applyBorder="1" applyAlignment="1">
      <alignment horizontal="center" vertical="center" wrapText="1"/>
    </xf>
    <xf numFmtId="0" fontId="29" fillId="58" borderId="15" xfId="0" applyFont="1" applyFill="1" applyBorder="1" applyAlignment="1" applyProtection="1">
      <alignment horizontal="center" vertical="center"/>
      <protection hidden="1"/>
    </xf>
    <xf numFmtId="0" fontId="70" fillId="58" borderId="15" xfId="0" applyFont="1" applyFill="1" applyBorder="1" applyAlignment="1" applyProtection="1">
      <alignment horizontal="center" vertical="center" wrapText="1"/>
      <protection hidden="1"/>
    </xf>
    <xf numFmtId="0" fontId="29" fillId="58" borderId="15" xfId="0" applyFont="1" applyFill="1" applyBorder="1" applyAlignment="1" applyProtection="1">
      <alignment horizontal="center" vertical="center" wrapText="1"/>
      <protection hidden="1"/>
    </xf>
    <xf numFmtId="0" fontId="29" fillId="58" borderId="10" xfId="0" applyFont="1" applyFill="1" applyBorder="1" applyAlignment="1" applyProtection="1">
      <alignment horizontal="center" vertical="center" wrapText="1"/>
      <protection hidden="1"/>
    </xf>
    <xf numFmtId="0" fontId="29" fillId="58" borderId="25" xfId="0" applyFont="1" applyFill="1" applyBorder="1" applyAlignment="1" applyProtection="1">
      <alignment horizontal="center" vertical="center" wrapText="1"/>
      <protection hidden="1"/>
    </xf>
    <xf numFmtId="0" fontId="29" fillId="58" borderId="35" xfId="0" applyFont="1" applyFill="1" applyBorder="1" applyAlignment="1" applyProtection="1">
      <alignment horizontal="center" vertical="center" wrapText="1"/>
      <protection hidden="1"/>
    </xf>
    <xf numFmtId="3" fontId="29" fillId="58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58" borderId="26" xfId="0" applyFont="1" applyFill="1" applyBorder="1" applyAlignment="1" applyProtection="1">
      <alignment horizontal="center" vertical="center" wrapText="1"/>
      <protection hidden="1"/>
    </xf>
    <xf numFmtId="0" fontId="29" fillId="58" borderId="28" xfId="0" applyFont="1" applyFill="1" applyBorder="1" applyAlignment="1" applyProtection="1">
      <alignment horizontal="center" vertical="center" wrapText="1"/>
      <protection hidden="1"/>
    </xf>
    <xf numFmtId="0" fontId="70" fillId="58" borderId="10" xfId="0" applyFont="1" applyFill="1" applyBorder="1" applyAlignment="1" applyProtection="1">
      <alignment horizontal="center" vertical="center" wrapText="1"/>
      <protection hidden="1"/>
    </xf>
    <xf numFmtId="0" fontId="29" fillId="58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58" borderId="10" xfId="0" applyFont="1" applyFill="1" applyBorder="1" applyAlignment="1" applyProtection="1">
      <alignment horizontal="right" vertical="center"/>
      <protection hidden="1"/>
    </xf>
    <xf numFmtId="0" fontId="29" fillId="58" borderId="10" xfId="0" applyFont="1" applyFill="1" applyBorder="1" applyAlignment="1" applyProtection="1">
      <alignment horizontal="right" vertical="center" wrapText="1"/>
      <protection hidden="1"/>
    </xf>
    <xf numFmtId="0" fontId="29" fillId="58" borderId="76" xfId="0" applyFont="1" applyFill="1" applyBorder="1" applyAlignment="1">
      <alignment horizontal="center" vertical="center" wrapText="1"/>
    </xf>
    <xf numFmtId="0" fontId="29" fillId="58" borderId="22" xfId="0" applyFont="1" applyFill="1" applyBorder="1" applyAlignment="1">
      <alignment horizontal="center" vertical="center" wrapText="1"/>
    </xf>
    <xf numFmtId="0" fontId="29" fillId="58" borderId="78" xfId="0" applyFont="1" applyFill="1" applyBorder="1" applyAlignment="1">
      <alignment horizontal="center" vertical="center" wrapText="1"/>
    </xf>
    <xf numFmtId="0" fontId="29" fillId="58" borderId="24" xfId="0" applyFont="1" applyFill="1" applyBorder="1" applyAlignment="1">
      <alignment horizontal="center" vertical="center" wrapText="1"/>
    </xf>
    <xf numFmtId="0" fontId="29" fillId="58" borderId="77" xfId="0" applyFont="1" applyFill="1" applyBorder="1" applyAlignment="1">
      <alignment horizontal="center" vertical="center" wrapText="1"/>
    </xf>
    <xf numFmtId="0" fontId="29" fillId="58" borderId="35" xfId="0" applyFont="1" applyFill="1" applyBorder="1" applyAlignment="1">
      <alignment horizontal="center" vertical="center" wrapText="1"/>
    </xf>
    <xf numFmtId="0" fontId="29" fillId="58" borderId="10" xfId="0" applyFont="1" applyFill="1" applyBorder="1" applyAlignment="1">
      <alignment horizontal="center" vertical="center"/>
    </xf>
    <xf numFmtId="0" fontId="29" fillId="58" borderId="17" xfId="0" applyFont="1" applyFill="1" applyBorder="1" applyAlignment="1">
      <alignment horizontal="center" vertical="center" wrapText="1"/>
    </xf>
    <xf numFmtId="0" fontId="29" fillId="58" borderId="26" xfId="0" applyFont="1" applyFill="1" applyBorder="1" applyAlignment="1">
      <alignment horizontal="center" vertical="center"/>
    </xf>
    <xf numFmtId="0" fontId="29" fillId="58" borderId="18" xfId="0" applyFont="1" applyFill="1" applyBorder="1" applyAlignment="1">
      <alignment horizontal="center" vertical="center"/>
    </xf>
    <xf numFmtId="0" fontId="29" fillId="58" borderId="28" xfId="0" applyFont="1" applyFill="1" applyBorder="1" applyAlignment="1">
      <alignment horizontal="center" vertical="center"/>
    </xf>
    <xf numFmtId="0" fontId="29" fillId="58" borderId="15" xfId="0" applyFont="1" applyFill="1" applyBorder="1" applyAlignment="1">
      <alignment horizontal="center" vertical="center" wrapText="1"/>
    </xf>
    <xf numFmtId="0" fontId="29" fillId="58" borderId="10" xfId="0" applyFont="1" applyFill="1" applyBorder="1" applyAlignment="1">
      <alignment horizontal="center" vertical="center"/>
    </xf>
    <xf numFmtId="0" fontId="29" fillId="58" borderId="26" xfId="0" applyFont="1" applyFill="1" applyBorder="1" applyAlignment="1">
      <alignment horizontal="center" vertical="center"/>
    </xf>
    <xf numFmtId="0" fontId="29" fillId="58" borderId="10" xfId="0" applyFont="1" applyFill="1" applyBorder="1" applyAlignment="1">
      <alignment horizontal="center" vertical="center" wrapText="1"/>
    </xf>
    <xf numFmtId="166" fontId="29" fillId="58" borderId="10" xfId="0" applyNumberFormat="1" applyFont="1" applyFill="1" applyBorder="1" applyAlignment="1">
      <alignment horizontal="center" vertical="center" wrapText="1"/>
    </xf>
    <xf numFmtId="166" fontId="29" fillId="58" borderId="26" xfId="0" applyNumberFormat="1" applyFont="1" applyFill="1" applyBorder="1" applyAlignment="1">
      <alignment horizontal="center" vertical="center" wrapText="1"/>
    </xf>
    <xf numFmtId="0" fontId="29" fillId="58" borderId="26" xfId="0" applyFont="1" applyFill="1" applyBorder="1" applyAlignment="1">
      <alignment horizontal="center" vertical="center" wrapText="1"/>
    </xf>
    <xf numFmtId="0" fontId="51" fillId="58" borderId="26" xfId="357" applyFont="1" applyFill="1" applyBorder="1" applyAlignment="1">
      <alignment horizontal="center" vertical="center" wrapText="1"/>
    </xf>
    <xf numFmtId="0" fontId="51" fillId="58" borderId="18" xfId="357" applyFont="1" applyFill="1" applyBorder="1" applyAlignment="1">
      <alignment horizontal="center" vertical="center" wrapText="1"/>
    </xf>
    <xf numFmtId="0" fontId="51" fillId="58" borderId="28" xfId="357" applyFont="1" applyFill="1" applyBorder="1" applyAlignment="1">
      <alignment horizontal="center" vertical="center" wrapText="1"/>
    </xf>
    <xf numFmtId="0" fontId="105" fillId="58" borderId="73" xfId="0" applyFont="1" applyFill="1" applyBorder="1" applyAlignment="1">
      <alignment horizontal="center" vertical="center" wrapText="1"/>
    </xf>
    <xf numFmtId="0" fontId="105" fillId="58" borderId="10" xfId="0" applyFont="1" applyFill="1" applyBorder="1" applyAlignment="1">
      <alignment horizontal="center" vertical="center" wrapText="1"/>
    </xf>
    <xf numFmtId="0" fontId="29" fillId="58" borderId="32" xfId="0" applyFont="1" applyFill="1" applyBorder="1" applyAlignment="1">
      <alignment horizontal="center" vertical="center" wrapText="1"/>
    </xf>
    <xf numFmtId="0" fontId="29" fillId="58" borderId="33" xfId="0" applyFont="1" applyFill="1" applyBorder="1" applyAlignment="1">
      <alignment horizontal="center" vertical="center" wrapText="1"/>
    </xf>
    <xf numFmtId="0" fontId="29" fillId="58" borderId="30" xfId="0" applyFont="1" applyFill="1" applyBorder="1" applyAlignment="1">
      <alignment horizontal="center" vertical="center" wrapText="1"/>
    </xf>
    <xf numFmtId="0" fontId="29" fillId="58" borderId="31" xfId="0" applyFont="1" applyFill="1" applyBorder="1" applyAlignment="1">
      <alignment horizontal="center" vertical="center" wrapText="1"/>
    </xf>
    <xf numFmtId="0" fontId="29" fillId="58" borderId="18" xfId="0" applyFont="1" applyFill="1" applyBorder="1" applyAlignment="1">
      <alignment horizontal="center" vertical="center"/>
    </xf>
    <xf numFmtId="0" fontId="29" fillId="58" borderId="26" xfId="0" applyFont="1" applyFill="1" applyBorder="1" applyAlignment="1">
      <alignment horizontal="center" vertical="center" wrapText="1"/>
    </xf>
    <xf numFmtId="0" fontId="29" fillId="58" borderId="18" xfId="0" applyFont="1" applyFill="1" applyBorder="1" applyAlignment="1">
      <alignment horizontal="center" vertical="center" wrapText="1"/>
    </xf>
    <xf numFmtId="0" fontId="29" fillId="58" borderId="28" xfId="0" applyFont="1" applyFill="1" applyBorder="1" applyAlignment="1">
      <alignment horizontal="center" vertical="center" wrapText="1"/>
    </xf>
    <xf numFmtId="0" fontId="33" fillId="58" borderId="10" xfId="0" applyFont="1" applyFill="1" applyBorder="1" applyAlignment="1">
      <alignment horizontal="center" vertical="center" wrapText="1"/>
    </xf>
    <xf numFmtId="0" fontId="29" fillId="58" borderId="17" xfId="0" applyFont="1" applyFill="1" applyBorder="1" applyAlignment="1">
      <alignment horizontal="center" vertical="center"/>
    </xf>
    <xf numFmtId="0" fontId="29" fillId="58" borderId="21" xfId="0" applyFont="1" applyFill="1" applyBorder="1" applyAlignment="1">
      <alignment horizontal="center" vertical="center" wrapText="1"/>
    </xf>
    <xf numFmtId="0" fontId="112" fillId="58" borderId="28" xfId="357" applyFont="1" applyFill="1" applyBorder="1" applyAlignment="1">
      <alignment horizontal="center" vertical="center" wrapText="1"/>
    </xf>
  </cellXfs>
  <cellStyles count="412">
    <cellStyle name=" 1" xfId="1"/>
    <cellStyle name="_~1613671" xfId="2"/>
    <cellStyle name="_~1613671 2" xfId="3"/>
    <cellStyle name="_~1613671 3" xfId="4"/>
    <cellStyle name="_~1613671 4" xfId="5"/>
    <cellStyle name="_~7644457" xfId="6"/>
    <cellStyle name="_~7644457 2" xfId="7"/>
    <cellStyle name="_~7644457 3" xfId="8"/>
    <cellStyle name="_~7644457 4" xfId="9"/>
    <cellStyle name="_price_der_nov_раб" xfId="10"/>
    <cellStyle name="_price_der_nov_раб_~2260219" xfId="11"/>
    <cellStyle name="_price_der_nov_раб_~2260219 2" xfId="12"/>
    <cellStyle name="_price_der_nov_раб_~2260219_~2131575" xfId="13"/>
    <cellStyle name="_price_der_nov_раб_~2260219_Decra" xfId="14"/>
    <cellStyle name="_price_der_nov_раб_~2260219_Vilpe" xfId="15"/>
    <cellStyle name="_price_der_nov_раб_~2260219_Дилерский прайс-лист 03.03.14 Единый+Q35" xfId="16"/>
    <cellStyle name="_price_der_nov_раб_~2260219_Макет временных" xfId="17"/>
    <cellStyle name="_price_der_nov_раб_~2260219_Прайс полный ассортимент Центр от 09.07" xfId="18"/>
    <cellStyle name="_price_der_nov_раб_~2260219_Розничный прайс-лист 03.03.14" xfId="19"/>
    <cellStyle name="_price_der_nov_раб_~2260219_Розничный прайс-лист 07.04.14" xfId="20"/>
    <cellStyle name="_price_der_nov_раб_~2260219_Цокольные панели Ванштайн" xfId="21"/>
    <cellStyle name="_price_der_nov_раб_~2260219_Цокольные панели Ванштайн 2" xfId="22"/>
    <cellStyle name="_price_der_nov_раб_~6447645" xfId="23"/>
    <cellStyle name="_price_der_nov_раб_GL розничный прайс Краснодар - 03.09.12" xfId="24"/>
    <cellStyle name="_price_der_nov_раб_дилерский прайс - лист 17.02.12 ПИТЕР" xfId="25"/>
    <cellStyle name="_price_der_nov_раб_дилерский прайс - лист 18.04.12" xfId="26"/>
    <cellStyle name="_price_der_nov_раб_Прайс для Краснодара 2" xfId="27"/>
    <cellStyle name="_price_der_nov_раб_Прайс полный ассортимент 22.12.2010  Центр" xfId="28"/>
    <cellStyle name="_price_der_nov_раб_Прайс полный ассортимент от 06.02.12 Одинцово" xfId="29"/>
    <cellStyle name="_price_der_nov_раб_Прайс полный ассортимент от 06.02.12 Центр" xfId="30"/>
    <cellStyle name="_price_der_nov_раб_Прайс полный ассортимент от 19.10.2011 Центр" xfId="31"/>
    <cellStyle name="_price_der_nov_раб_Прайс полный ассортимент СПБ  от 22.08.12 Ворота + фигурный профнастил" xfId="32"/>
    <cellStyle name="_price_der_nov_раб_Прайс полный ассортимент Центр от 01.06.12" xfId="33"/>
    <cellStyle name="_price_der_nov_раб_Прайс полный ассортимент Центр от 06.08.12" xfId="34"/>
    <cellStyle name="_price_der_nov_раб_Прайс полный ассортимент Центр от 22.08.12 Ворота + фигурный профнастил" xfId="35"/>
    <cellStyle name="_price_der_nov_раб_Прайс полный ассортимент Центр от 29.06.12" xfId="36"/>
    <cellStyle name="_Книга2" xfId="37"/>
    <cellStyle name="_Книга2 2" xfId="38"/>
    <cellStyle name="_Книга2 3" xfId="39"/>
    <cellStyle name="_Книга2 4" xfId="40"/>
    <cellStyle name="_лестницы" xfId="41"/>
    <cellStyle name="_лестницы 2" xfId="42"/>
    <cellStyle name="_лестницы 3" xfId="43"/>
    <cellStyle name="_лестницы 4" xfId="44"/>
    <cellStyle name="_прайс-лист розница" xfId="45"/>
    <cellStyle name="_прайс-лист розница 2" xfId="46"/>
    <cellStyle name="_прайс-лист розница 3" xfId="47"/>
    <cellStyle name="_прайс-лист розница 4" xfId="48"/>
    <cellStyle name="-15-1976" xfId="49"/>
    <cellStyle name="-15-1976 2" xfId="50"/>
    <cellStyle name="-15-1976 3" xfId="51"/>
    <cellStyle name="-15-1976 4" xfId="52"/>
    <cellStyle name="20% - Акцент1" xfId="53" builtinId="30" customBuiltin="1"/>
    <cellStyle name="20% - Акцент1 2" xfId="54"/>
    <cellStyle name="20% - Акцент1 2 2" xfId="55"/>
    <cellStyle name="20% - Акцент1 2 3" xfId="56"/>
    <cellStyle name="20% - Акцент1 2 4" xfId="57"/>
    <cellStyle name="20% - Акцент1 3" xfId="58"/>
    <cellStyle name="20% - Акцент2" xfId="59" builtinId="34" customBuiltin="1"/>
    <cellStyle name="20% - Акцент2 2" xfId="60"/>
    <cellStyle name="20% - Акцент2 2 2" xfId="61"/>
    <cellStyle name="20% - Акцент2 2 3" xfId="62"/>
    <cellStyle name="20% - Акцент2 2 4" xfId="63"/>
    <cellStyle name="20% - Акцент2 3" xfId="64"/>
    <cellStyle name="20% - Акцент3" xfId="65" builtinId="38" customBuiltin="1"/>
    <cellStyle name="20% - Акцент3 2" xfId="66"/>
    <cellStyle name="20% - Акцент3 2 2" xfId="67"/>
    <cellStyle name="20% - Акцент3 2 3" xfId="68"/>
    <cellStyle name="20% - Акцент3 2 4" xfId="69"/>
    <cellStyle name="20% - Акцент3 3" xfId="70"/>
    <cellStyle name="20% - Акцент4" xfId="71" builtinId="42" customBuiltin="1"/>
    <cellStyle name="20% - Акцент4 2" xfId="72"/>
    <cellStyle name="20% - Акцент4 2 2" xfId="73"/>
    <cellStyle name="20% - Акцент4 2 3" xfId="74"/>
    <cellStyle name="20% - Акцент4 2 4" xfId="75"/>
    <cellStyle name="20% - Акцент4 3" xfId="76"/>
    <cellStyle name="20% - Акцент5" xfId="77" builtinId="46" customBuiltin="1"/>
    <cellStyle name="20% - Акцент5 2" xfId="78"/>
    <cellStyle name="20% - Акцент5 2 2" xfId="79"/>
    <cellStyle name="20% - Акцент5 2 3" xfId="80"/>
    <cellStyle name="20% - Акцент5 2 4" xfId="81"/>
    <cellStyle name="20% - Акцент5 3" xfId="82"/>
    <cellStyle name="20% - Акцент6" xfId="83" builtinId="50" customBuiltin="1"/>
    <cellStyle name="20% - Акцент6 2" xfId="84"/>
    <cellStyle name="20% - Акцент6 2 2" xfId="85"/>
    <cellStyle name="20% - Акцент6 2 3" xfId="86"/>
    <cellStyle name="20% - Акцент6 2 4" xfId="87"/>
    <cellStyle name="20% - Акцент6 3" xfId="88"/>
    <cellStyle name="40% - Акцент1" xfId="89" builtinId="31" customBuiltin="1"/>
    <cellStyle name="40% - Акцент1 2" xfId="90"/>
    <cellStyle name="40% - Акцент1 2 2" xfId="91"/>
    <cellStyle name="40% - Акцент1 2 3" xfId="92"/>
    <cellStyle name="40% - Акцент1 2 4" xfId="93"/>
    <cellStyle name="40% - Акцент1 3" xfId="94"/>
    <cellStyle name="40% - Акцент2" xfId="95" builtinId="35" customBuiltin="1"/>
    <cellStyle name="40% - Акцент2 2" xfId="96"/>
    <cellStyle name="40% - Акцент2 2 2" xfId="97"/>
    <cellStyle name="40% - Акцент2 2 3" xfId="98"/>
    <cellStyle name="40% - Акцент2 2 4" xfId="99"/>
    <cellStyle name="40% - Акцент2 3" xfId="100"/>
    <cellStyle name="40% - Акцент3" xfId="101" builtinId="39" customBuiltin="1"/>
    <cellStyle name="40% - Акцент3 2" xfId="102"/>
    <cellStyle name="40% - Акцент3 2 2" xfId="103"/>
    <cellStyle name="40% - Акцент3 2 3" xfId="104"/>
    <cellStyle name="40% - Акцент3 2 4" xfId="105"/>
    <cellStyle name="40% - Акцент3 3" xfId="106"/>
    <cellStyle name="40% - Акцент4" xfId="107" builtinId="43" customBuiltin="1"/>
    <cellStyle name="40% - Акцент4 2" xfId="108"/>
    <cellStyle name="40% - Акцент4 2 2" xfId="109"/>
    <cellStyle name="40% - Акцент4 2 3" xfId="110"/>
    <cellStyle name="40% - Акцент4 2 4" xfId="111"/>
    <cellStyle name="40% - Акцент4 3" xfId="112"/>
    <cellStyle name="40% - Акцент5" xfId="113" builtinId="47" customBuiltin="1"/>
    <cellStyle name="40% - Акцент5 2" xfId="114"/>
    <cellStyle name="40% - Акцент5 2 2" xfId="115"/>
    <cellStyle name="40% - Акцент5 2 3" xfId="116"/>
    <cellStyle name="40% - Акцент5 2 4" xfId="117"/>
    <cellStyle name="40% - Акцент5 3" xfId="118"/>
    <cellStyle name="40% - Акцент6" xfId="119" builtinId="51" customBuiltin="1"/>
    <cellStyle name="40% - Акцент6 2" xfId="120"/>
    <cellStyle name="40% - Акцент6 2 2" xfId="121"/>
    <cellStyle name="40% - Акцент6 2 3" xfId="122"/>
    <cellStyle name="40% - Акцент6 2 4" xfId="123"/>
    <cellStyle name="40% - Акцент6 3" xfId="124"/>
    <cellStyle name="60% - Акцент1" xfId="125" builtinId="32" customBuiltin="1"/>
    <cellStyle name="60% - Акцент1 2" xfId="126"/>
    <cellStyle name="60% - Акцент1 2 2" xfId="127"/>
    <cellStyle name="60% - Акцент1 2 3" xfId="128"/>
    <cellStyle name="60% - Акцент1 2 4" xfId="129"/>
    <cellStyle name="60% - Акцент1 3" xfId="130"/>
    <cellStyle name="60% - Акцент2" xfId="131" builtinId="36" customBuiltin="1"/>
    <cellStyle name="60% - Акцент2 2" xfId="132"/>
    <cellStyle name="60% - Акцент2 2 2" xfId="133"/>
    <cellStyle name="60% - Акцент2 2 3" xfId="134"/>
    <cellStyle name="60% - Акцент2 2 4" xfId="135"/>
    <cellStyle name="60% - Акцент2 3" xfId="136"/>
    <cellStyle name="60% - Акцент3" xfId="137" builtinId="40" customBuiltin="1"/>
    <cellStyle name="60% - Акцент3 2" xfId="138"/>
    <cellStyle name="60% - Акцент3 2 2" xfId="139"/>
    <cellStyle name="60% - Акцент3 2 3" xfId="140"/>
    <cellStyle name="60% - Акцент3 2 4" xfId="141"/>
    <cellStyle name="60% - Акцент3 3" xfId="142"/>
    <cellStyle name="60% - Акцент4" xfId="143" builtinId="44" customBuiltin="1"/>
    <cellStyle name="60% - Акцент4 2" xfId="144"/>
    <cellStyle name="60% - Акцент4 2 2" xfId="145"/>
    <cellStyle name="60% - Акцент4 2 3" xfId="146"/>
    <cellStyle name="60% - Акцент4 2 4" xfId="147"/>
    <cellStyle name="60% - Акцент4 3" xfId="148"/>
    <cellStyle name="60% - Акцент5" xfId="149" builtinId="48" customBuiltin="1"/>
    <cellStyle name="60% - Акцент5 2" xfId="150"/>
    <cellStyle name="60% - Акцент5 2 2" xfId="151"/>
    <cellStyle name="60% - Акцент5 2 3" xfId="152"/>
    <cellStyle name="60% - Акцент5 2 4" xfId="153"/>
    <cellStyle name="60% - Акцент5 3" xfId="154"/>
    <cellStyle name="60% - Акцент6" xfId="155" builtinId="52" customBuiltin="1"/>
    <cellStyle name="60% - Акцент6 2" xfId="156"/>
    <cellStyle name="60% - Акцент6 2 2" xfId="157"/>
    <cellStyle name="60% - Акцент6 2 3" xfId="158"/>
    <cellStyle name="60% - Акцент6 2 4" xfId="159"/>
    <cellStyle name="60% - Акцент6 3" xfId="160"/>
    <cellStyle name="Euro" xfId="161"/>
    <cellStyle name="Euro 2" xfId="162"/>
    <cellStyle name="Euro 3" xfId="163"/>
    <cellStyle name="Euro 4" xfId="164"/>
    <cellStyle name="Excel Built-in Normal" xfId="165"/>
    <cellStyle name="Normal 2" xfId="166"/>
    <cellStyle name="Normal_Sheet1" xfId="167"/>
    <cellStyle name="Standaard 10" xfId="168"/>
    <cellStyle name="Standaard 10 2" xfId="169"/>
    <cellStyle name="Standaard 10 3" xfId="170"/>
    <cellStyle name="Standaard 10 4" xfId="171"/>
    <cellStyle name="Standaard 11" xfId="172"/>
    <cellStyle name="Standaard 11 2" xfId="173"/>
    <cellStyle name="Standaard 11 3" xfId="174"/>
    <cellStyle name="Standaard 11 4" xfId="175"/>
    <cellStyle name="Standaard 12" xfId="176"/>
    <cellStyle name="Standaard 12 2" xfId="177"/>
    <cellStyle name="Standaard 12 3" xfId="178"/>
    <cellStyle name="Standaard 12 4" xfId="179"/>
    <cellStyle name="Standaard 2" xfId="180"/>
    <cellStyle name="Standaard 2 2" xfId="181"/>
    <cellStyle name="Standaard 2 3" xfId="182"/>
    <cellStyle name="Standaard 2 4" xfId="183"/>
    <cellStyle name="Standaard 3" xfId="184"/>
    <cellStyle name="Standaard 3 2" xfId="185"/>
    <cellStyle name="Standaard 3 3" xfId="186"/>
    <cellStyle name="Standaard 3 4" xfId="187"/>
    <cellStyle name="Standaard 4" xfId="188"/>
    <cellStyle name="Standaard 4 2" xfId="189"/>
    <cellStyle name="Standaard 4 3" xfId="190"/>
    <cellStyle name="Standaard 4 4" xfId="191"/>
    <cellStyle name="Standaard 5" xfId="192"/>
    <cellStyle name="Standaard 5 2" xfId="193"/>
    <cellStyle name="Standaard 5 3" xfId="194"/>
    <cellStyle name="Standaard 5 4" xfId="195"/>
    <cellStyle name="Standaard 6" xfId="196"/>
    <cellStyle name="Standaard 6 2" xfId="197"/>
    <cellStyle name="Standaard 6 3" xfId="198"/>
    <cellStyle name="Standaard 6 4" xfId="199"/>
    <cellStyle name="Standaard 7" xfId="200"/>
    <cellStyle name="Standaard 7 2" xfId="201"/>
    <cellStyle name="Standaard 7 3" xfId="202"/>
    <cellStyle name="Standaard 7 4" xfId="203"/>
    <cellStyle name="Standaard 8" xfId="204"/>
    <cellStyle name="Standaard 8 2" xfId="205"/>
    <cellStyle name="Standaard 8 3" xfId="206"/>
    <cellStyle name="Standaard 8 4" xfId="207"/>
    <cellStyle name="Standaard 9" xfId="208"/>
    <cellStyle name="Standaard 9 2" xfId="209"/>
    <cellStyle name="Standaard 9 3" xfId="210"/>
    <cellStyle name="Standaard 9 4" xfId="211"/>
    <cellStyle name="Акцент1" xfId="212" builtinId="29" customBuiltin="1"/>
    <cellStyle name="Акцент1 2" xfId="213"/>
    <cellStyle name="Акцент1 2 2" xfId="214"/>
    <cellStyle name="Акцент1 2 3" xfId="215"/>
    <cellStyle name="Акцент1 2 4" xfId="216"/>
    <cellStyle name="Акцент1 3" xfId="217"/>
    <cellStyle name="Акцент2" xfId="218" builtinId="33" customBuiltin="1"/>
    <cellStyle name="Акцент2 2" xfId="219"/>
    <cellStyle name="Акцент2 2 2" xfId="220"/>
    <cellStyle name="Акцент2 2 3" xfId="221"/>
    <cellStyle name="Акцент2 2 4" xfId="222"/>
    <cellStyle name="Акцент2 3" xfId="223"/>
    <cellStyle name="Акцент3" xfId="224" builtinId="37" customBuiltin="1"/>
    <cellStyle name="Акцент3 2" xfId="225"/>
    <cellStyle name="Акцент3 2 2" xfId="226"/>
    <cellStyle name="Акцент3 2 3" xfId="227"/>
    <cellStyle name="Акцент3 2 4" xfId="228"/>
    <cellStyle name="Акцент3 3" xfId="229"/>
    <cellStyle name="Акцент4" xfId="230" builtinId="41" customBuiltin="1"/>
    <cellStyle name="Акцент4 2" xfId="231"/>
    <cellStyle name="Акцент4 2 2" xfId="232"/>
    <cellStyle name="Акцент4 2 3" xfId="233"/>
    <cellStyle name="Акцент4 2 4" xfId="234"/>
    <cellStyle name="Акцент4 3" xfId="235"/>
    <cellStyle name="Акцент5" xfId="236" builtinId="45" customBuiltin="1"/>
    <cellStyle name="Акцент5 2" xfId="237"/>
    <cellStyle name="Акцент5 2 2" xfId="238"/>
    <cellStyle name="Акцент5 2 3" xfId="239"/>
    <cellStyle name="Акцент5 2 4" xfId="240"/>
    <cellStyle name="Акцент5 3" xfId="241"/>
    <cellStyle name="Акцент6" xfId="242" builtinId="49" customBuiltin="1"/>
    <cellStyle name="Акцент6 2" xfId="243"/>
    <cellStyle name="Акцент6 2 2" xfId="244"/>
    <cellStyle name="Акцент6 2 3" xfId="245"/>
    <cellStyle name="Акцент6 2 4" xfId="246"/>
    <cellStyle name="Акцент6 3" xfId="247"/>
    <cellStyle name="Ввод " xfId="248" builtinId="20" customBuiltin="1"/>
    <cellStyle name="Ввод  2" xfId="249"/>
    <cellStyle name="Ввод  2 2" xfId="250"/>
    <cellStyle name="Ввод  2 3" xfId="251"/>
    <cellStyle name="Ввод  2 4" xfId="252"/>
    <cellStyle name="Ввод  3" xfId="253"/>
    <cellStyle name="Вывод" xfId="254" builtinId="21" customBuiltin="1"/>
    <cellStyle name="Вывод 2" xfId="255"/>
    <cellStyle name="Вывод 2 2" xfId="256"/>
    <cellStyle name="Вывод 2 3" xfId="257"/>
    <cellStyle name="Вывод 2 4" xfId="258"/>
    <cellStyle name="Вывод 3" xfId="259"/>
    <cellStyle name="Вычисление" xfId="260" builtinId="22" customBuiltin="1"/>
    <cellStyle name="Вычисление 2" xfId="261"/>
    <cellStyle name="Вычисление 2 2" xfId="262"/>
    <cellStyle name="Вычисление 2 3" xfId="263"/>
    <cellStyle name="Вычисление 2 4" xfId="264"/>
    <cellStyle name="Вычисление 3" xfId="265"/>
    <cellStyle name="Гиперссылка" xfId="411" builtinId="8"/>
    <cellStyle name="Гиперссылка 2" xfId="266"/>
    <cellStyle name="Гиперссылка 3" xfId="267"/>
    <cellStyle name="Денежный 2" xfId="268"/>
    <cellStyle name="Заголовок 1" xfId="269" builtinId="16" customBuiltin="1"/>
    <cellStyle name="Заголовок 1 2" xfId="270"/>
    <cellStyle name="Заголовок 1 3" xfId="271"/>
    <cellStyle name="Заголовок 2" xfId="272" builtinId="17" customBuiltin="1"/>
    <cellStyle name="Заголовок 2 2" xfId="273"/>
    <cellStyle name="Заголовок 2 3" xfId="274"/>
    <cellStyle name="Заголовок 3" xfId="275" builtinId="18" customBuiltin="1"/>
    <cellStyle name="Заголовок 3 2" xfId="276"/>
    <cellStyle name="Заголовок 3 3" xfId="277"/>
    <cellStyle name="Заголовок 4" xfId="278" builtinId="19" customBuiltin="1"/>
    <cellStyle name="Заголовок 4 2" xfId="279"/>
    <cellStyle name="Заголовок 4 3" xfId="280"/>
    <cellStyle name="Заголовок сводной таблицы" xfId="281"/>
    <cellStyle name="Итог" xfId="282" builtinId="25" customBuiltin="1"/>
    <cellStyle name="Итог 2" xfId="283"/>
    <cellStyle name="Итог 3" xfId="284"/>
    <cellStyle name="Категория сводной таблицы" xfId="285"/>
    <cellStyle name="Контрольная ячейка" xfId="286" builtinId="23" customBuiltin="1"/>
    <cellStyle name="Контрольная ячейка 2" xfId="287"/>
    <cellStyle name="Контрольная ячейка 2 2" xfId="288"/>
    <cellStyle name="Контрольная ячейка 2 3" xfId="289"/>
    <cellStyle name="Контрольная ячейка 2 4" xfId="290"/>
    <cellStyle name="Контрольная ячейка 3" xfId="291"/>
    <cellStyle name="Название" xfId="292" builtinId="15" customBuiltin="1"/>
    <cellStyle name="Название 2" xfId="293"/>
    <cellStyle name="Название 3" xfId="294"/>
    <cellStyle name="Нейтральный" xfId="295" builtinId="28" customBuiltin="1"/>
    <cellStyle name="Нейтральный 2" xfId="296"/>
    <cellStyle name="Нейтральный 2 2" xfId="297"/>
    <cellStyle name="Нейтральный 2 3" xfId="298"/>
    <cellStyle name="Нейтральный 2 4" xfId="299"/>
    <cellStyle name="Нейтральный 3" xfId="300"/>
    <cellStyle name="Обычный" xfId="0" builtinId="0"/>
    <cellStyle name="Обычный 10" xfId="301"/>
    <cellStyle name="Обычный 10 2" xfId="302"/>
    <cellStyle name="Обычный 11" xfId="303"/>
    <cellStyle name="Обычный 11 2" xfId="304"/>
    <cellStyle name="Обычный 11 3" xfId="305"/>
    <cellStyle name="Обычный 12" xfId="306"/>
    <cellStyle name="Обычный 13" xfId="307"/>
    <cellStyle name="Обычный 14" xfId="308"/>
    <cellStyle name="Обычный 14 2" xfId="309"/>
    <cellStyle name="Обычный 15" xfId="310"/>
    <cellStyle name="Обычный 16" xfId="311"/>
    <cellStyle name="Обычный 17" xfId="312"/>
    <cellStyle name="Обычный 18" xfId="313"/>
    <cellStyle name="Обычный 19" xfId="314"/>
    <cellStyle name="Обычный 2" xfId="315"/>
    <cellStyle name="Обычный 2 2" xfId="316"/>
    <cellStyle name="Обычный 2 2 2" xfId="317"/>
    <cellStyle name="Обычный 2 3" xfId="318"/>
    <cellStyle name="Обычный 2 4" xfId="319"/>
    <cellStyle name="Обычный 2_Аквасток 1" xfId="320"/>
    <cellStyle name="Обычный 20" xfId="321"/>
    <cellStyle name="Обычный 21" xfId="322"/>
    <cellStyle name="Обычный 22" xfId="323"/>
    <cellStyle name="Обычный 23" xfId="324"/>
    <cellStyle name="Обычный 24" xfId="325"/>
    <cellStyle name="Обычный 26" xfId="326"/>
    <cellStyle name="Обычный 3" xfId="327"/>
    <cellStyle name="Обычный 3 2" xfId="328"/>
    <cellStyle name="Обычный 30" xfId="329"/>
    <cellStyle name="Обычный 4" xfId="330"/>
    <cellStyle name="Обычный 4 2" xfId="331"/>
    <cellStyle name="Обычный 4 3" xfId="332"/>
    <cellStyle name="Обычный 4 4" xfId="333"/>
    <cellStyle name="Обычный 4_~2131575" xfId="334"/>
    <cellStyle name="Обычный 5" xfId="335"/>
    <cellStyle name="Обычный 6" xfId="336"/>
    <cellStyle name="Обычный 6 2" xfId="337"/>
    <cellStyle name="Обычный 6 3" xfId="338"/>
    <cellStyle name="Обычный 6 4" xfId="339"/>
    <cellStyle name="Обычный 6 5" xfId="340"/>
    <cellStyle name="Обычный 7" xfId="341"/>
    <cellStyle name="Обычный 7 2" xfId="342"/>
    <cellStyle name="Обычный 8" xfId="343"/>
    <cellStyle name="Обычный 8 2" xfId="344"/>
    <cellStyle name="Обычный 9" xfId="345"/>
    <cellStyle name="Обычный 9 10" xfId="346"/>
    <cellStyle name="Обычный 9 2" xfId="347"/>
    <cellStyle name="Обычный 9 3" xfId="348"/>
    <cellStyle name="Обычный 9 4" xfId="349"/>
    <cellStyle name="Обычный 9 5" xfId="350"/>
    <cellStyle name="Обычный 9 6" xfId="351"/>
    <cellStyle name="Обычный 9 7" xfId="352"/>
    <cellStyle name="Обычный 9 8" xfId="353"/>
    <cellStyle name="Обычный 9 9" xfId="354"/>
    <cellStyle name="Обычный_Locinox_28_03_2013" xfId="355"/>
    <cellStyle name="Обычный_Лист1_Книга2" xfId="356"/>
    <cellStyle name="Обычный_прайс дилерский _14.06.11" xfId="357"/>
    <cellStyle name="Плохой" xfId="358" builtinId="27" customBuiltin="1"/>
    <cellStyle name="Плохой 2" xfId="359"/>
    <cellStyle name="Плохой 2 2" xfId="360"/>
    <cellStyle name="Плохой 2 3" xfId="361"/>
    <cellStyle name="Плохой 2 4" xfId="362"/>
    <cellStyle name="Плохой 3" xfId="363"/>
    <cellStyle name="Пояснение" xfId="364" builtinId="53" customBuiltin="1"/>
    <cellStyle name="Пояснение 2" xfId="365"/>
    <cellStyle name="Пояснение 3" xfId="366"/>
    <cellStyle name="Примечание" xfId="367" builtinId="10" customBuiltin="1"/>
    <cellStyle name="Примечание 2" xfId="368"/>
    <cellStyle name="Примечание 2 2" xfId="369"/>
    <cellStyle name="Примечание 2 3" xfId="370"/>
    <cellStyle name="Примечание 2 4" xfId="371"/>
    <cellStyle name="Примечание 3" xfId="372"/>
    <cellStyle name="Процентный" xfId="373" builtinId="5"/>
    <cellStyle name="Процентный 2" xfId="374"/>
    <cellStyle name="Процентный 2 2" xfId="375"/>
    <cellStyle name="Процентный 2 3" xfId="376"/>
    <cellStyle name="Процентный 2 4" xfId="377"/>
    <cellStyle name="Процентный 3" xfId="378"/>
    <cellStyle name="Процентный 3 2" xfId="379"/>
    <cellStyle name="Процентный 3 3" xfId="380"/>
    <cellStyle name="Процентный 3 4" xfId="381"/>
    <cellStyle name="Процентный 4" xfId="382"/>
    <cellStyle name="Процентный 4 2" xfId="383"/>
    <cellStyle name="Процентный 4 3" xfId="384"/>
    <cellStyle name="Процентный 5" xfId="385"/>
    <cellStyle name="Процентный 6" xfId="386"/>
    <cellStyle name="Связанная ячейка" xfId="387" builtinId="24" customBuiltin="1"/>
    <cellStyle name="Связанная ячейка 2" xfId="388"/>
    <cellStyle name="Связанная ячейка 3" xfId="389"/>
    <cellStyle name="Стиль 1" xfId="390"/>
    <cellStyle name="Текст предупреждения" xfId="391" builtinId="11" customBuiltin="1"/>
    <cellStyle name="Текст предупреждения 2" xfId="392"/>
    <cellStyle name="Текст предупреждения 3" xfId="393"/>
    <cellStyle name="Финансовый" xfId="394" builtinId="3"/>
    <cellStyle name="Финансовый 2" xfId="395"/>
    <cellStyle name="Финансовый 2 2" xfId="396"/>
    <cellStyle name="Финансовый 2 3" xfId="397"/>
    <cellStyle name="Финансовый 2 4" xfId="398"/>
    <cellStyle name="Финансовый 3" xfId="399"/>
    <cellStyle name="Финансовый 3 2" xfId="400"/>
    <cellStyle name="Финансовый 3 3" xfId="401"/>
    <cellStyle name="Финансовый 4" xfId="402"/>
    <cellStyle name="Финансовый 4 2" xfId="403"/>
    <cellStyle name="Финансовый 4 3" xfId="404"/>
    <cellStyle name="Хороший" xfId="405" builtinId="26" customBuiltin="1"/>
    <cellStyle name="Хороший 2" xfId="406"/>
    <cellStyle name="Хороший 2 2" xfId="407"/>
    <cellStyle name="Хороший 2 3" xfId="408"/>
    <cellStyle name="Хороший 2 4" xfId="409"/>
    <cellStyle name="Хороший 3" xfId="410"/>
  </cellStyles>
  <dxfs count="7"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</dxfs>
  <tableStyles count="0" defaultTableStyle="TableStyleMedium9" defaultPivotStyle="PivotStyleLight16"/>
  <colors>
    <mruColors>
      <color rgb="FFC0C0C0"/>
      <color rgb="FF969696"/>
      <color rgb="FFFF2D2D"/>
      <color rgb="FFFF2121"/>
      <color rgb="FFFF5757"/>
      <color rgb="FFFFFF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png"/><Relationship Id="rId5" Type="http://schemas.openxmlformats.org/officeDocument/2006/relationships/image" Target="../media/image7.jpeg"/><Relationship Id="rId15" Type="http://schemas.openxmlformats.org/officeDocument/2006/relationships/image" Target="../media/image2.pn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jpeg"/><Relationship Id="rId18" Type="http://schemas.openxmlformats.org/officeDocument/2006/relationships/image" Target="../media/image33.png"/><Relationship Id="rId26" Type="http://schemas.openxmlformats.org/officeDocument/2006/relationships/image" Target="../media/image37.png"/><Relationship Id="rId3" Type="http://schemas.openxmlformats.org/officeDocument/2006/relationships/image" Target="../media/image18.jpeg"/><Relationship Id="rId21" Type="http://schemas.openxmlformats.org/officeDocument/2006/relationships/image" Target="../media/image34.png"/><Relationship Id="rId34" Type="http://schemas.openxmlformats.org/officeDocument/2006/relationships/image" Target="../media/image1.pn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17" Type="http://schemas.openxmlformats.org/officeDocument/2006/relationships/image" Target="../media/image32.jpeg"/><Relationship Id="rId25" Type="http://schemas.microsoft.com/office/2007/relationships/hdphoto" Target="../media/hdphoto2.wdp"/><Relationship Id="rId33" Type="http://schemas.openxmlformats.org/officeDocument/2006/relationships/image" Target="../media/image42.png"/><Relationship Id="rId2" Type="http://schemas.openxmlformats.org/officeDocument/2006/relationships/image" Target="../media/image17.jpeg"/><Relationship Id="rId16" Type="http://schemas.openxmlformats.org/officeDocument/2006/relationships/image" Target="../media/image31.jpeg"/><Relationship Id="rId20" Type="http://schemas.openxmlformats.org/officeDocument/2006/relationships/hyperlink" Target="http://www.grandline.ru/uploads/images/ogragdeniya/modul/Premiumplus/vetrovye_nagruzki_in_3.jpg" TargetMode="External"/><Relationship Id="rId29" Type="http://schemas.microsoft.com/office/2007/relationships/hdphoto" Target="../media/hdphoto4.wdp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11" Type="http://schemas.openxmlformats.org/officeDocument/2006/relationships/image" Target="../media/image26.png"/><Relationship Id="rId24" Type="http://schemas.openxmlformats.org/officeDocument/2006/relationships/image" Target="../media/image36.png"/><Relationship Id="rId32" Type="http://schemas.openxmlformats.org/officeDocument/2006/relationships/image" Target="../media/image41.png"/><Relationship Id="rId5" Type="http://schemas.openxmlformats.org/officeDocument/2006/relationships/image" Target="../media/image20.emf"/><Relationship Id="rId15" Type="http://schemas.openxmlformats.org/officeDocument/2006/relationships/image" Target="../media/image30.jpeg"/><Relationship Id="rId23" Type="http://schemas.microsoft.com/office/2007/relationships/hdphoto" Target="../media/hdphoto1.wdp"/><Relationship Id="rId28" Type="http://schemas.openxmlformats.org/officeDocument/2006/relationships/image" Target="../media/image38.png"/><Relationship Id="rId10" Type="http://schemas.openxmlformats.org/officeDocument/2006/relationships/image" Target="../media/image25.jpeg"/><Relationship Id="rId19" Type="http://schemas.openxmlformats.org/officeDocument/2006/relationships/hyperlink" Target="http://www.grandline.ru/shop/zabory-i-ograzhdeniya/modulnye-ograzhdeniya/ekonom/vetrovaya-nagruzka/tablica-vetrovoj-nagruzki/" TargetMode="External"/><Relationship Id="rId31" Type="http://schemas.openxmlformats.org/officeDocument/2006/relationships/image" Target="../media/image40.png"/><Relationship Id="rId4" Type="http://schemas.openxmlformats.org/officeDocument/2006/relationships/image" Target="../media/image19.pn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Relationship Id="rId22" Type="http://schemas.openxmlformats.org/officeDocument/2006/relationships/image" Target="../media/image35.png"/><Relationship Id="rId27" Type="http://schemas.microsoft.com/office/2007/relationships/hdphoto" Target="../media/hdphoto3.wdp"/><Relationship Id="rId30" Type="http://schemas.openxmlformats.org/officeDocument/2006/relationships/image" Target="../media/image39.jpeg"/><Relationship Id="rId35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3" Type="http://schemas.openxmlformats.org/officeDocument/2006/relationships/image" Target="../media/image45.jpeg"/><Relationship Id="rId7" Type="http://schemas.openxmlformats.org/officeDocument/2006/relationships/image" Target="../media/image48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47.jpeg"/><Relationship Id="rId11" Type="http://schemas.openxmlformats.org/officeDocument/2006/relationships/image" Target="../media/image2.png"/><Relationship Id="rId5" Type="http://schemas.openxmlformats.org/officeDocument/2006/relationships/image" Target="../media/image46.jpeg"/><Relationship Id="rId10" Type="http://schemas.openxmlformats.org/officeDocument/2006/relationships/image" Target="../media/image1.png"/><Relationship Id="rId4" Type="http://schemas.openxmlformats.org/officeDocument/2006/relationships/image" Target="../media/image3.jpeg"/><Relationship Id="rId9" Type="http://schemas.openxmlformats.org/officeDocument/2006/relationships/image" Target="../media/image5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image" Target="../media/image63.png"/><Relationship Id="rId18" Type="http://schemas.openxmlformats.org/officeDocument/2006/relationships/image" Target="../media/image68.png"/><Relationship Id="rId3" Type="http://schemas.openxmlformats.org/officeDocument/2006/relationships/image" Target="../media/image53.jpeg"/><Relationship Id="rId21" Type="http://schemas.openxmlformats.org/officeDocument/2006/relationships/image" Target="../media/image71.jpeg"/><Relationship Id="rId7" Type="http://schemas.openxmlformats.org/officeDocument/2006/relationships/image" Target="../media/image57.png"/><Relationship Id="rId12" Type="http://schemas.openxmlformats.org/officeDocument/2006/relationships/image" Target="../media/image62.jpeg"/><Relationship Id="rId17" Type="http://schemas.openxmlformats.org/officeDocument/2006/relationships/image" Target="../media/image67.jpeg"/><Relationship Id="rId2" Type="http://schemas.openxmlformats.org/officeDocument/2006/relationships/image" Target="../media/image52.jpeg"/><Relationship Id="rId16" Type="http://schemas.openxmlformats.org/officeDocument/2006/relationships/image" Target="../media/image66.jpeg"/><Relationship Id="rId20" Type="http://schemas.openxmlformats.org/officeDocument/2006/relationships/image" Target="../media/image70.jpe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5" Type="http://schemas.openxmlformats.org/officeDocument/2006/relationships/image" Target="../media/image55.jpeg"/><Relationship Id="rId15" Type="http://schemas.openxmlformats.org/officeDocument/2006/relationships/image" Target="../media/image65.jpeg"/><Relationship Id="rId23" Type="http://schemas.openxmlformats.org/officeDocument/2006/relationships/image" Target="../media/image2.png"/><Relationship Id="rId10" Type="http://schemas.openxmlformats.org/officeDocument/2006/relationships/image" Target="../media/image60.png"/><Relationship Id="rId19" Type="http://schemas.openxmlformats.org/officeDocument/2006/relationships/image" Target="../media/image69.jpeg"/><Relationship Id="rId4" Type="http://schemas.openxmlformats.org/officeDocument/2006/relationships/image" Target="../media/image54.jpeg"/><Relationship Id="rId9" Type="http://schemas.openxmlformats.org/officeDocument/2006/relationships/image" Target="../media/image59.png"/><Relationship Id="rId14" Type="http://schemas.openxmlformats.org/officeDocument/2006/relationships/image" Target="../media/image64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2.png"/><Relationship Id="rId3" Type="http://schemas.openxmlformats.org/officeDocument/2006/relationships/image" Target="../media/image74.emf"/><Relationship Id="rId7" Type="http://schemas.openxmlformats.org/officeDocument/2006/relationships/image" Target="../media/image78.jpeg"/><Relationship Id="rId12" Type="http://schemas.openxmlformats.org/officeDocument/2006/relationships/image" Target="../media/image1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6" Type="http://schemas.openxmlformats.org/officeDocument/2006/relationships/image" Target="../media/image77.png"/><Relationship Id="rId11" Type="http://schemas.openxmlformats.org/officeDocument/2006/relationships/image" Target="../media/image82.png"/><Relationship Id="rId5" Type="http://schemas.openxmlformats.org/officeDocument/2006/relationships/image" Target="../media/image76.png"/><Relationship Id="rId10" Type="http://schemas.openxmlformats.org/officeDocument/2006/relationships/image" Target="../media/image81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jpeg"/><Relationship Id="rId13" Type="http://schemas.openxmlformats.org/officeDocument/2006/relationships/image" Target="../media/image1.png"/><Relationship Id="rId3" Type="http://schemas.openxmlformats.org/officeDocument/2006/relationships/image" Target="../media/image86.jpeg"/><Relationship Id="rId7" Type="http://schemas.microsoft.com/office/2007/relationships/hdphoto" Target="../media/hdphoto5.wdp"/><Relationship Id="rId12" Type="http://schemas.openxmlformats.org/officeDocument/2006/relationships/image" Target="../media/image94.png"/><Relationship Id="rId2" Type="http://schemas.openxmlformats.org/officeDocument/2006/relationships/image" Target="../media/image85.pn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11" Type="http://schemas.openxmlformats.org/officeDocument/2006/relationships/image" Target="../media/image93.png"/><Relationship Id="rId5" Type="http://schemas.openxmlformats.org/officeDocument/2006/relationships/image" Target="../media/image88.jpeg"/><Relationship Id="rId10" Type="http://schemas.openxmlformats.org/officeDocument/2006/relationships/image" Target="../media/image92.png"/><Relationship Id="rId4" Type="http://schemas.openxmlformats.org/officeDocument/2006/relationships/image" Target="../media/image87.png"/><Relationship Id="rId9" Type="http://schemas.openxmlformats.org/officeDocument/2006/relationships/image" Target="../media/image91.png"/><Relationship Id="rId1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image" Target="../media/image107.png"/><Relationship Id="rId18" Type="http://schemas.openxmlformats.org/officeDocument/2006/relationships/image" Target="../media/image110.png"/><Relationship Id="rId3" Type="http://schemas.openxmlformats.org/officeDocument/2006/relationships/image" Target="../media/image97.jpeg"/><Relationship Id="rId21" Type="http://schemas.openxmlformats.org/officeDocument/2006/relationships/image" Target="../media/image1.png"/><Relationship Id="rId7" Type="http://schemas.openxmlformats.org/officeDocument/2006/relationships/image" Target="../media/image101.png"/><Relationship Id="rId12" Type="http://schemas.openxmlformats.org/officeDocument/2006/relationships/image" Target="../media/image106.png"/><Relationship Id="rId17" Type="http://schemas.microsoft.com/office/2007/relationships/hdphoto" Target="../media/hdphoto7.wdp"/><Relationship Id="rId2" Type="http://schemas.openxmlformats.org/officeDocument/2006/relationships/image" Target="../media/image96.jpeg"/><Relationship Id="rId16" Type="http://schemas.openxmlformats.org/officeDocument/2006/relationships/image" Target="../media/image109.png"/><Relationship Id="rId20" Type="http://schemas.openxmlformats.org/officeDocument/2006/relationships/image" Target="../media/image111.png"/><Relationship Id="rId1" Type="http://schemas.openxmlformats.org/officeDocument/2006/relationships/image" Target="../media/image95.jpeg"/><Relationship Id="rId6" Type="http://schemas.openxmlformats.org/officeDocument/2006/relationships/image" Target="../media/image100.jpeg"/><Relationship Id="rId11" Type="http://schemas.openxmlformats.org/officeDocument/2006/relationships/image" Target="../media/image105.jpeg"/><Relationship Id="rId5" Type="http://schemas.openxmlformats.org/officeDocument/2006/relationships/image" Target="../media/image99.png"/><Relationship Id="rId15" Type="http://schemas.microsoft.com/office/2007/relationships/hdphoto" Target="../media/hdphoto6.wdp"/><Relationship Id="rId10" Type="http://schemas.openxmlformats.org/officeDocument/2006/relationships/image" Target="../media/image104.jpeg"/><Relationship Id="rId19" Type="http://schemas.microsoft.com/office/2007/relationships/hdphoto" Target="../media/hdphoto8.wdp"/><Relationship Id="rId4" Type="http://schemas.openxmlformats.org/officeDocument/2006/relationships/image" Target="../media/image98.jpeg"/><Relationship Id="rId9" Type="http://schemas.openxmlformats.org/officeDocument/2006/relationships/image" Target="../media/image103.jpeg"/><Relationship Id="rId14" Type="http://schemas.openxmlformats.org/officeDocument/2006/relationships/image" Target="../media/image108.png"/><Relationship Id="rId22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748145</xdr:colOff>
      <xdr:row>0</xdr:row>
      <xdr:rowOff>235527</xdr:rowOff>
    </xdr:from>
    <xdr:to>
      <xdr:col>0</xdr:col>
      <xdr:colOff>3522065</xdr:colOff>
      <xdr:row>1</xdr:row>
      <xdr:rowOff>175753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145" y="235527"/>
          <a:ext cx="2773920" cy="89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1316182</xdr:colOff>
      <xdr:row>0</xdr:row>
      <xdr:rowOff>290945</xdr:rowOff>
    </xdr:from>
    <xdr:to>
      <xdr:col>11</xdr:col>
      <xdr:colOff>1992518</xdr:colOff>
      <xdr:row>0</xdr:row>
      <xdr:rowOff>900598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14218" y="290945"/>
          <a:ext cx="2712955" cy="6096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526473</xdr:colOff>
      <xdr:row>0</xdr:row>
      <xdr:rowOff>207819</xdr:rowOff>
    </xdr:from>
    <xdr:to>
      <xdr:col>0</xdr:col>
      <xdr:colOff>3300393</xdr:colOff>
      <xdr:row>1</xdr:row>
      <xdr:rowOff>148045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73" y="207819"/>
          <a:ext cx="2773920" cy="896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1302328</xdr:colOff>
      <xdr:row>0</xdr:row>
      <xdr:rowOff>290945</xdr:rowOff>
    </xdr:from>
    <xdr:to>
      <xdr:col>11</xdr:col>
      <xdr:colOff>1978664</xdr:colOff>
      <xdr:row>0</xdr:row>
      <xdr:rowOff>900598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00364" y="290945"/>
          <a:ext cx="2712955" cy="609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585788</xdr:colOff>
      <xdr:row>19</xdr:row>
      <xdr:rowOff>171450</xdr:rowOff>
    </xdr:from>
    <xdr:to>
      <xdr:col>0</xdr:col>
      <xdr:colOff>1833563</xdr:colOff>
      <xdr:row>31</xdr:row>
      <xdr:rowOff>76201</xdr:rowOff>
    </xdr:to>
    <xdr:pic>
      <xdr:nvPicPr>
        <xdr:cNvPr id="151553" name="Picture 140" descr="Рисунок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5788" y="7083879"/>
          <a:ext cx="1247775" cy="3415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706584</xdr:colOff>
      <xdr:row>55</xdr:row>
      <xdr:rowOff>31111</xdr:rowOff>
    </xdr:from>
    <xdr:to>
      <xdr:col>0</xdr:col>
      <xdr:colOff>1756937</xdr:colOff>
      <xdr:row>55</xdr:row>
      <xdr:rowOff>607111</xdr:rowOff>
    </xdr:to>
    <xdr:pic>
      <xdr:nvPicPr>
        <xdr:cNvPr id="15157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6584" y="20414611"/>
          <a:ext cx="1050353" cy="576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157597</xdr:colOff>
      <xdr:row>56</xdr:row>
      <xdr:rowOff>57149</xdr:rowOff>
    </xdr:from>
    <xdr:to>
      <xdr:col>0</xdr:col>
      <xdr:colOff>1453597</xdr:colOff>
      <xdr:row>56</xdr:row>
      <xdr:rowOff>777149</xdr:rowOff>
    </xdr:to>
    <xdr:pic>
      <xdr:nvPicPr>
        <xdr:cNvPr id="15157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597" y="21393149"/>
          <a:ext cx="1296000" cy="72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1651285</xdr:colOff>
      <xdr:row>56</xdr:row>
      <xdr:rowOff>90053</xdr:rowOff>
    </xdr:from>
    <xdr:to>
      <xdr:col>0</xdr:col>
      <xdr:colOff>2415367</xdr:colOff>
      <xdr:row>56</xdr:row>
      <xdr:rowOff>810053</xdr:rowOff>
    </xdr:to>
    <xdr:pic>
      <xdr:nvPicPr>
        <xdr:cNvPr id="151572" name="Рисунок 37" descr="хомут крайний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1285" y="21426053"/>
          <a:ext cx="764082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1719695</xdr:colOff>
      <xdr:row>55</xdr:row>
      <xdr:rowOff>347164</xdr:rowOff>
    </xdr:from>
    <xdr:to>
      <xdr:col>0</xdr:col>
      <xdr:colOff>2413514</xdr:colOff>
      <xdr:row>55</xdr:row>
      <xdr:rowOff>923164</xdr:rowOff>
    </xdr:to>
    <xdr:pic>
      <xdr:nvPicPr>
        <xdr:cNvPr id="151573" name="Рисунок 38" descr="хомут угловой.jpg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9695" y="20730664"/>
          <a:ext cx="693819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54555</xdr:colOff>
      <xdr:row>55</xdr:row>
      <xdr:rowOff>315558</xdr:rowOff>
    </xdr:from>
    <xdr:to>
      <xdr:col>0</xdr:col>
      <xdr:colOff>642810</xdr:colOff>
      <xdr:row>55</xdr:row>
      <xdr:rowOff>891558</xdr:rowOff>
    </xdr:to>
    <xdr:pic>
      <xdr:nvPicPr>
        <xdr:cNvPr id="151574" name="Рисунок 39" descr="хомут крайний.jpg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555" y="20699058"/>
          <a:ext cx="588255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985837</xdr:colOff>
      <xdr:row>52</xdr:row>
      <xdr:rowOff>99579</xdr:rowOff>
    </xdr:from>
    <xdr:to>
      <xdr:col>0</xdr:col>
      <xdr:colOff>1761337</xdr:colOff>
      <xdr:row>52</xdr:row>
      <xdr:rowOff>891579</xdr:rowOff>
    </xdr:to>
    <xdr:pic>
      <xdr:nvPicPr>
        <xdr:cNvPr id="151575" name="Рисунок 24" descr="IMG_399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5837" y="17625579"/>
          <a:ext cx="7755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978044</xdr:colOff>
      <xdr:row>58</xdr:row>
      <xdr:rowOff>66674</xdr:rowOff>
    </xdr:from>
    <xdr:to>
      <xdr:col>0</xdr:col>
      <xdr:colOff>1626044</xdr:colOff>
      <xdr:row>58</xdr:row>
      <xdr:rowOff>858674</xdr:rowOff>
    </xdr:to>
    <xdr:pic>
      <xdr:nvPicPr>
        <xdr:cNvPr id="151579" name="Рисунок 33" descr="крепление рулонной сетки на 51й столб_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78044" y="23307674"/>
          <a:ext cx="6480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545092</xdr:colOff>
      <xdr:row>57</xdr:row>
      <xdr:rowOff>82261</xdr:rowOff>
    </xdr:from>
    <xdr:to>
      <xdr:col>0</xdr:col>
      <xdr:colOff>1947592</xdr:colOff>
      <xdr:row>57</xdr:row>
      <xdr:rowOff>874261</xdr:rowOff>
    </xdr:to>
    <xdr:pic>
      <xdr:nvPicPr>
        <xdr:cNvPr id="151583" name="Рисунок 37" descr="крепление хомут 62х55 для наконечни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5092" y="22370761"/>
          <a:ext cx="14025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969675</xdr:colOff>
      <xdr:row>49</xdr:row>
      <xdr:rowOff>89064</xdr:rowOff>
    </xdr:from>
    <xdr:to>
      <xdr:col>0</xdr:col>
      <xdr:colOff>1790662</xdr:colOff>
      <xdr:row>50</xdr:row>
      <xdr:rowOff>396155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675" y="15692746"/>
          <a:ext cx="820987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880357</xdr:colOff>
      <xdr:row>51</xdr:row>
      <xdr:rowOff>89064</xdr:rowOff>
    </xdr:from>
    <xdr:to>
      <xdr:col>0</xdr:col>
      <xdr:colOff>1936357</xdr:colOff>
      <xdr:row>51</xdr:row>
      <xdr:rowOff>881064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0357" y="16662564"/>
          <a:ext cx="1056000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898070</xdr:colOff>
      <xdr:row>54</xdr:row>
      <xdr:rowOff>89064</xdr:rowOff>
    </xdr:from>
    <xdr:to>
      <xdr:col>0</xdr:col>
      <xdr:colOff>1793969</xdr:colOff>
      <xdr:row>54</xdr:row>
      <xdr:rowOff>881064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070" y="19520064"/>
          <a:ext cx="89589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848582</xdr:colOff>
      <xdr:row>53</xdr:row>
      <xdr:rowOff>86590</xdr:rowOff>
    </xdr:from>
    <xdr:to>
      <xdr:col>0</xdr:col>
      <xdr:colOff>2009431</xdr:colOff>
      <xdr:row>53</xdr:row>
      <xdr:rowOff>878590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582" y="18565090"/>
          <a:ext cx="116084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848582</xdr:colOff>
      <xdr:row>59</xdr:row>
      <xdr:rowOff>103908</xdr:rowOff>
    </xdr:from>
    <xdr:to>
      <xdr:col>0</xdr:col>
      <xdr:colOff>1653243</xdr:colOff>
      <xdr:row>59</xdr:row>
      <xdr:rowOff>895908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582" y="24297408"/>
          <a:ext cx="804661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595745</xdr:colOff>
      <xdr:row>0</xdr:row>
      <xdr:rowOff>263237</xdr:rowOff>
    </xdr:from>
    <xdr:to>
      <xdr:col>1</xdr:col>
      <xdr:colOff>751156</xdr:colOff>
      <xdr:row>1</xdr:row>
      <xdr:rowOff>203463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95745" y="263237"/>
          <a:ext cx="2773920" cy="896190"/>
        </a:xfrm>
        <a:prstGeom prst="rect">
          <a:avLst/>
        </a:prstGeom>
      </xdr:spPr>
    </xdr:pic>
    <xdr:clientData/>
  </xdr:twoCellAnchor>
  <xdr:twoCellAnchor editAs="oneCell">
    <xdr:from>
      <xdr:col>7</xdr:col>
      <xdr:colOff>969818</xdr:colOff>
      <xdr:row>0</xdr:row>
      <xdr:rowOff>346363</xdr:rowOff>
    </xdr:from>
    <xdr:to>
      <xdr:col>8</xdr:col>
      <xdr:colOff>1923245</xdr:colOff>
      <xdr:row>1</xdr:row>
      <xdr:rowOff>52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891163" y="346363"/>
          <a:ext cx="2712955" cy="6096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904875</xdr:colOff>
      <xdr:row>16</xdr:row>
      <xdr:rowOff>57150</xdr:rowOff>
    </xdr:from>
    <xdr:to>
      <xdr:col>0</xdr:col>
      <xdr:colOff>1514475</xdr:colOff>
      <xdr:row>16</xdr:row>
      <xdr:rowOff>581025</xdr:rowOff>
    </xdr:to>
    <xdr:pic>
      <xdr:nvPicPr>
        <xdr:cNvPr id="4" name="Picture 146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875" y="26755725"/>
          <a:ext cx="609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18</xdr:row>
      <xdr:rowOff>143740</xdr:rowOff>
    </xdr:from>
    <xdr:to>
      <xdr:col>0</xdr:col>
      <xdr:colOff>1790700</xdr:colOff>
      <xdr:row>19</xdr:row>
      <xdr:rowOff>639906</xdr:rowOff>
    </xdr:to>
    <xdr:pic>
      <xdr:nvPicPr>
        <xdr:cNvPr id="5" name="Picture 155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4126922"/>
          <a:ext cx="1247775" cy="1206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17</xdr:row>
      <xdr:rowOff>38100</xdr:rowOff>
    </xdr:from>
    <xdr:to>
      <xdr:col>0</xdr:col>
      <xdr:colOff>1428750</xdr:colOff>
      <xdr:row>17</xdr:row>
      <xdr:rowOff>638175</xdr:rowOff>
    </xdr:to>
    <xdr:pic>
      <xdr:nvPicPr>
        <xdr:cNvPr id="6" name="Picture 156" descr="Рисунок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" y="27384375"/>
          <a:ext cx="390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41</xdr:row>
      <xdr:rowOff>152400</xdr:rowOff>
    </xdr:from>
    <xdr:to>
      <xdr:col>0</xdr:col>
      <xdr:colOff>1905000</xdr:colOff>
      <xdr:row>41</xdr:row>
      <xdr:rowOff>771525</xdr:rowOff>
    </xdr:to>
    <xdr:pic>
      <xdr:nvPicPr>
        <xdr:cNvPr id="8" name="Picture 23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4350" y="16459200"/>
          <a:ext cx="139065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40</xdr:row>
      <xdr:rowOff>55418</xdr:rowOff>
    </xdr:from>
    <xdr:to>
      <xdr:col>0</xdr:col>
      <xdr:colOff>1981200</xdr:colOff>
      <xdr:row>40</xdr:row>
      <xdr:rowOff>587086</xdr:rowOff>
    </xdr:to>
    <xdr:pic>
      <xdr:nvPicPr>
        <xdr:cNvPr id="1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0525" y="15790718"/>
          <a:ext cx="1590675" cy="531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159327</xdr:colOff>
      <xdr:row>30</xdr:row>
      <xdr:rowOff>93517</xdr:rowOff>
    </xdr:from>
    <xdr:to>
      <xdr:col>0</xdr:col>
      <xdr:colOff>2387654</xdr:colOff>
      <xdr:row>34</xdr:row>
      <xdr:rowOff>242454</xdr:rowOff>
    </xdr:to>
    <xdr:pic>
      <xdr:nvPicPr>
        <xdr:cNvPr id="12" name="Picture 34" descr="СББ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9327" y="35602717"/>
          <a:ext cx="2228327" cy="1330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35</xdr:row>
      <xdr:rowOff>90054</xdr:rowOff>
    </xdr:from>
    <xdr:to>
      <xdr:col>0</xdr:col>
      <xdr:colOff>1847850</xdr:colOff>
      <xdr:row>37</xdr:row>
      <xdr:rowOff>204354</xdr:rowOff>
    </xdr:to>
    <xdr:pic>
      <xdr:nvPicPr>
        <xdr:cNvPr id="13" name="Picture 35" descr="ПББ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37075629"/>
          <a:ext cx="13906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15</xdr:row>
      <xdr:rowOff>47625</xdr:rowOff>
    </xdr:from>
    <xdr:to>
      <xdr:col>0</xdr:col>
      <xdr:colOff>1647825</xdr:colOff>
      <xdr:row>15</xdr:row>
      <xdr:rowOff>609600</xdr:rowOff>
    </xdr:to>
    <xdr:pic>
      <xdr:nvPicPr>
        <xdr:cNvPr id="14" name="Picture 37" descr="огр_04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3381375"/>
          <a:ext cx="7048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38</xdr:row>
      <xdr:rowOff>35503</xdr:rowOff>
    </xdr:from>
    <xdr:to>
      <xdr:col>0</xdr:col>
      <xdr:colOff>1600200</xdr:colOff>
      <xdr:row>39</xdr:row>
      <xdr:rowOff>613930</xdr:rowOff>
    </xdr:to>
    <xdr:pic>
      <xdr:nvPicPr>
        <xdr:cNvPr id="27" name="Picture 36" descr="Струна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15408853"/>
          <a:ext cx="885825" cy="883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809624</xdr:colOff>
      <xdr:row>20</xdr:row>
      <xdr:rowOff>47624</xdr:rowOff>
    </xdr:from>
    <xdr:to>
      <xdr:col>0</xdr:col>
      <xdr:colOff>1486046</xdr:colOff>
      <xdr:row>20</xdr:row>
      <xdr:rowOff>659624</xdr:rowOff>
    </xdr:to>
    <xdr:pic>
      <xdr:nvPicPr>
        <xdr:cNvPr id="28" name="Рисунок 36" descr="Основание столба_усиленное.jpg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4" y="5450897"/>
          <a:ext cx="676422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904875</xdr:colOff>
      <xdr:row>29</xdr:row>
      <xdr:rowOff>104775</xdr:rowOff>
    </xdr:from>
    <xdr:to>
      <xdr:col>0</xdr:col>
      <xdr:colOff>1390650</xdr:colOff>
      <xdr:row>29</xdr:row>
      <xdr:rowOff>800100</xdr:rowOff>
    </xdr:to>
    <xdr:pic>
      <xdr:nvPicPr>
        <xdr:cNvPr id="31" name="Рисунок 41" descr="Приспособление для винтовых опор.png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2334875"/>
          <a:ext cx="4857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470187</xdr:colOff>
      <xdr:row>21</xdr:row>
      <xdr:rowOff>191365</xdr:rowOff>
    </xdr:from>
    <xdr:to>
      <xdr:col>0</xdr:col>
      <xdr:colOff>1766187</xdr:colOff>
      <xdr:row>21</xdr:row>
      <xdr:rowOff>479365</xdr:rowOff>
    </xdr:to>
    <xdr:pic>
      <xdr:nvPicPr>
        <xdr:cNvPr id="35" name="Рисунок 1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0187" y="6252729"/>
          <a:ext cx="1296000" cy="28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28</xdr:row>
      <xdr:rowOff>57150</xdr:rowOff>
    </xdr:from>
    <xdr:to>
      <xdr:col>0</xdr:col>
      <xdr:colOff>1781175</xdr:colOff>
      <xdr:row>28</xdr:row>
      <xdr:rowOff>552450</xdr:rowOff>
    </xdr:to>
    <xdr:pic>
      <xdr:nvPicPr>
        <xdr:cNvPr id="36" name="Рисунок 2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34147125"/>
          <a:ext cx="1143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776719</xdr:colOff>
      <xdr:row>24</xdr:row>
      <xdr:rowOff>161058</xdr:rowOff>
    </xdr:from>
    <xdr:to>
      <xdr:col>0</xdr:col>
      <xdr:colOff>1539071</xdr:colOff>
      <xdr:row>24</xdr:row>
      <xdr:rowOff>485058</xdr:rowOff>
    </xdr:to>
    <xdr:pic>
      <xdr:nvPicPr>
        <xdr:cNvPr id="37" name="Рисунок 3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6719" y="7469331"/>
          <a:ext cx="762352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203488</xdr:colOff>
      <xdr:row>22</xdr:row>
      <xdr:rowOff>129023</xdr:rowOff>
    </xdr:from>
    <xdr:to>
      <xdr:col>0</xdr:col>
      <xdr:colOff>2178702</xdr:colOff>
      <xdr:row>23</xdr:row>
      <xdr:rowOff>169265</xdr:rowOff>
    </xdr:to>
    <xdr:pic>
      <xdr:nvPicPr>
        <xdr:cNvPr id="38" name="Рисунок 4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488" y="8339573"/>
          <a:ext cx="1975214" cy="478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170584</xdr:colOff>
      <xdr:row>25</xdr:row>
      <xdr:rowOff>103912</xdr:rowOff>
    </xdr:from>
    <xdr:to>
      <xdr:col>0</xdr:col>
      <xdr:colOff>2411023</xdr:colOff>
      <xdr:row>27</xdr:row>
      <xdr:rowOff>199092</xdr:rowOff>
    </xdr:to>
    <xdr:pic>
      <xdr:nvPicPr>
        <xdr:cNvPr id="39" name="Рисунок 5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584" y="7983685"/>
          <a:ext cx="2240439" cy="68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14</xdr:row>
      <xdr:rowOff>104774</xdr:rowOff>
    </xdr:from>
    <xdr:to>
      <xdr:col>0</xdr:col>
      <xdr:colOff>1743075</xdr:colOff>
      <xdr:row>14</xdr:row>
      <xdr:rowOff>552449</xdr:rowOff>
    </xdr:to>
    <xdr:pic>
      <xdr:nvPicPr>
        <xdr:cNvPr id="19" name="Picture 174" descr="Рисунок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5800" y="2790824"/>
          <a:ext cx="1057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885826</xdr:colOff>
      <xdr:row>13</xdr:row>
      <xdr:rowOff>66674</xdr:rowOff>
    </xdr:from>
    <xdr:to>
      <xdr:col>0</xdr:col>
      <xdr:colOff>1571539</xdr:colOff>
      <xdr:row>13</xdr:row>
      <xdr:rowOff>606674</xdr:rowOff>
    </xdr:to>
    <xdr:pic>
      <xdr:nvPicPr>
        <xdr:cNvPr id="20" name="Picture 235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85826" y="2105024"/>
          <a:ext cx="685713" cy="5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121227</xdr:colOff>
      <xdr:row>51</xdr:row>
      <xdr:rowOff>690780</xdr:rowOff>
    </xdr:from>
    <xdr:to>
      <xdr:col>0</xdr:col>
      <xdr:colOff>2281227</xdr:colOff>
      <xdr:row>52</xdr:row>
      <xdr:rowOff>74553</xdr:rowOff>
    </xdr:to>
    <xdr:sp macro="" textlink="">
      <xdr:nvSpPr>
        <xdr:cNvPr id="3" name="Прямоугольник 2">
          <a:hlinkClick xmlns:r="http://schemas.openxmlformats.org/officeDocument/2006/relationships" r:id="rId19"/>
        </xdr:cNvPr>
        <xdr:cNvSpPr/>
      </xdr:nvSpPr>
      <xdr:spPr>
        <a:xfrm>
          <a:off x="121227" y="28555735"/>
          <a:ext cx="2160000" cy="648000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Список Ветровых Районов</a:t>
          </a:r>
        </a:p>
      </xdr:txBody>
    </xdr:sp>
    <xdr:clientData/>
  </xdr:twoCellAnchor>
  <xdr:twoCellAnchor>
    <xdr:from>
      <xdr:col>0</xdr:col>
      <xdr:colOff>121227</xdr:colOff>
      <xdr:row>50</xdr:row>
      <xdr:rowOff>686055</xdr:rowOff>
    </xdr:from>
    <xdr:to>
      <xdr:col>0</xdr:col>
      <xdr:colOff>2281227</xdr:colOff>
      <xdr:row>51</xdr:row>
      <xdr:rowOff>450827</xdr:rowOff>
    </xdr:to>
    <xdr:sp macro="" textlink="">
      <xdr:nvSpPr>
        <xdr:cNvPr id="25" name="Прямоугольник 24">
          <a:hlinkClick xmlns:r="http://schemas.openxmlformats.org/officeDocument/2006/relationships" r:id="rId20"/>
        </xdr:cNvPr>
        <xdr:cNvSpPr/>
      </xdr:nvSpPr>
      <xdr:spPr>
        <a:xfrm>
          <a:off x="121227" y="27667782"/>
          <a:ext cx="2160000" cy="648000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Карта Ветровых Районов</a:t>
          </a:r>
        </a:p>
      </xdr:txBody>
    </xdr:sp>
    <xdr:clientData/>
  </xdr:twoCellAnchor>
  <xdr:twoCellAnchor editAs="oneCell">
    <xdr:from>
      <xdr:col>0</xdr:col>
      <xdr:colOff>766762</xdr:colOff>
      <xdr:row>5</xdr:row>
      <xdr:rowOff>70952</xdr:rowOff>
    </xdr:from>
    <xdr:to>
      <xdr:col>0</xdr:col>
      <xdr:colOff>1609429</xdr:colOff>
      <xdr:row>5</xdr:row>
      <xdr:rowOff>646952</xdr:rowOff>
    </xdr:to>
    <xdr:pic>
      <xdr:nvPicPr>
        <xdr:cNvPr id="40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6762" y="3482634"/>
          <a:ext cx="842667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966788</xdr:colOff>
      <xdr:row>6</xdr:row>
      <xdr:rowOff>66571</xdr:rowOff>
    </xdr:from>
    <xdr:to>
      <xdr:col>0</xdr:col>
      <xdr:colOff>1294665</xdr:colOff>
      <xdr:row>6</xdr:row>
      <xdr:rowOff>642571</xdr:rowOff>
    </xdr:to>
    <xdr:pic>
      <xdr:nvPicPr>
        <xdr:cNvPr id="41" name="Picture 926" descr="L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6788" y="4170980"/>
          <a:ext cx="327877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857251</xdr:colOff>
      <xdr:row>7</xdr:row>
      <xdr:rowOff>94382</xdr:rowOff>
    </xdr:from>
    <xdr:to>
      <xdr:col>0</xdr:col>
      <xdr:colOff>1415872</xdr:colOff>
      <xdr:row>7</xdr:row>
      <xdr:rowOff>643907</xdr:rowOff>
    </xdr:to>
    <xdr:pic>
      <xdr:nvPicPr>
        <xdr:cNvPr id="42" name="Picture 927" descr="V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1" y="4891518"/>
          <a:ext cx="558621" cy="54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4</xdr:row>
      <xdr:rowOff>72684</xdr:rowOff>
    </xdr:from>
    <xdr:to>
      <xdr:col>0</xdr:col>
      <xdr:colOff>1559025</xdr:colOff>
      <xdr:row>4</xdr:row>
      <xdr:rowOff>648684</xdr:rowOff>
    </xdr:to>
    <xdr:pic>
      <xdr:nvPicPr>
        <xdr:cNvPr id="43" name="Picture 931" descr="Желе_007"/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791639"/>
          <a:ext cx="82560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3</xdr:row>
      <xdr:rowOff>69274</xdr:rowOff>
    </xdr:from>
    <xdr:to>
      <xdr:col>0</xdr:col>
      <xdr:colOff>1960848</xdr:colOff>
      <xdr:row>3</xdr:row>
      <xdr:rowOff>645274</xdr:rowOff>
    </xdr:to>
    <xdr:pic>
      <xdr:nvPicPr>
        <xdr:cNvPr id="44" name="Picture 936"/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2095501"/>
          <a:ext cx="1389348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912253</xdr:colOff>
      <xdr:row>8</xdr:row>
      <xdr:rowOff>43708</xdr:rowOff>
    </xdr:from>
    <xdr:to>
      <xdr:col>0</xdr:col>
      <xdr:colOff>1205549</xdr:colOff>
      <xdr:row>9</xdr:row>
      <xdr:rowOff>646981</xdr:rowOff>
    </xdr:to>
    <xdr:pic>
      <xdr:nvPicPr>
        <xdr:cNvPr id="45" name="Рисунок 34" descr="Наконечник прямой_801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2034787">
          <a:off x="912253" y="5533572"/>
          <a:ext cx="293296" cy="12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985838</xdr:colOff>
      <xdr:row>12</xdr:row>
      <xdr:rowOff>21679</xdr:rowOff>
    </xdr:from>
    <xdr:to>
      <xdr:col>0</xdr:col>
      <xdr:colOff>1300163</xdr:colOff>
      <xdr:row>12</xdr:row>
      <xdr:rowOff>650329</xdr:rowOff>
    </xdr:to>
    <xdr:pic>
      <xdr:nvPicPr>
        <xdr:cNvPr id="46" name="Рисунок 42" descr="наконечник для уличного освещения.png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5838" y="8178543"/>
          <a:ext cx="3143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848582</xdr:colOff>
      <xdr:row>10</xdr:row>
      <xdr:rowOff>51954</xdr:rowOff>
    </xdr:from>
    <xdr:to>
      <xdr:col>0</xdr:col>
      <xdr:colOff>1395859</xdr:colOff>
      <xdr:row>10</xdr:row>
      <xdr:rowOff>591954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582" y="6927272"/>
          <a:ext cx="547277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634909</xdr:colOff>
      <xdr:row>11</xdr:row>
      <xdr:rowOff>63408</xdr:rowOff>
    </xdr:from>
    <xdr:to>
      <xdr:col>0</xdr:col>
      <xdr:colOff>1572202</xdr:colOff>
      <xdr:row>11</xdr:row>
      <xdr:rowOff>603408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09" y="7579499"/>
          <a:ext cx="937293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581891</xdr:colOff>
      <xdr:row>0</xdr:row>
      <xdr:rowOff>277091</xdr:rowOff>
    </xdr:from>
    <xdr:to>
      <xdr:col>1</xdr:col>
      <xdr:colOff>737302</xdr:colOff>
      <xdr:row>1</xdr:row>
      <xdr:rowOff>217317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81891" y="277091"/>
          <a:ext cx="2773920" cy="896190"/>
        </a:xfrm>
        <a:prstGeom prst="rect">
          <a:avLst/>
        </a:prstGeom>
      </xdr:spPr>
    </xdr:pic>
    <xdr:clientData/>
  </xdr:twoCellAnchor>
  <xdr:twoCellAnchor editAs="oneCell">
    <xdr:from>
      <xdr:col>5</xdr:col>
      <xdr:colOff>1440873</xdr:colOff>
      <xdr:row>0</xdr:row>
      <xdr:rowOff>332509</xdr:rowOff>
    </xdr:from>
    <xdr:to>
      <xdr:col>6</xdr:col>
      <xdr:colOff>2047937</xdr:colOff>
      <xdr:row>0</xdr:row>
      <xdr:rowOff>942162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988146" y="332509"/>
          <a:ext cx="2712955" cy="6096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151811</xdr:colOff>
      <xdr:row>20</xdr:row>
      <xdr:rowOff>62340</xdr:rowOff>
    </xdr:from>
    <xdr:to>
      <xdr:col>0</xdr:col>
      <xdr:colOff>1752812</xdr:colOff>
      <xdr:row>21</xdr:row>
      <xdr:rowOff>386490</xdr:rowOff>
    </xdr:to>
    <xdr:pic>
      <xdr:nvPicPr>
        <xdr:cNvPr id="5" name="Рисунок 31" descr="укосина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811" y="9225390"/>
          <a:ext cx="1601001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743331</xdr:colOff>
      <xdr:row>22</xdr:row>
      <xdr:rowOff>51958</xdr:rowOff>
    </xdr:from>
    <xdr:to>
      <xdr:col>0</xdr:col>
      <xdr:colOff>1337218</xdr:colOff>
      <xdr:row>23</xdr:row>
      <xdr:rowOff>376108</xdr:rowOff>
    </xdr:to>
    <xdr:pic>
      <xdr:nvPicPr>
        <xdr:cNvPr id="7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331" y="9977008"/>
          <a:ext cx="593887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34636</xdr:rowOff>
    </xdr:from>
    <xdr:to>
      <xdr:col>0</xdr:col>
      <xdr:colOff>1956955</xdr:colOff>
      <xdr:row>19</xdr:row>
      <xdr:rowOff>138545</xdr:rowOff>
    </xdr:to>
    <xdr:grpSp>
      <xdr:nvGrpSpPr>
        <xdr:cNvPr id="2" name="Группа 1"/>
        <xdr:cNvGrpSpPr>
          <a:grpSpLocks noChangeAspect="1"/>
        </xdr:cNvGrpSpPr>
      </xdr:nvGrpSpPr>
      <xdr:grpSpPr>
        <a:xfrm>
          <a:off x="0" y="6851072"/>
          <a:ext cx="1956955" cy="2320637"/>
          <a:chOff x="709404" y="6889714"/>
          <a:chExt cx="1737431" cy="1980000"/>
        </a:xfrm>
      </xdr:grpSpPr>
      <xdr:pic>
        <xdr:nvPicPr>
          <xdr:cNvPr id="4" name="Рисунок 30" descr="столб 51 RAL6005.JPG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6200000">
            <a:off x="80522" y="7518596"/>
            <a:ext cx="1980000" cy="7222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Picture 140" descr="Рисунок3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 flipH="1">
            <a:off x="1720360" y="6889714"/>
            <a:ext cx="726475" cy="1980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738777</xdr:colOff>
      <xdr:row>4</xdr:row>
      <xdr:rowOff>95455</xdr:rowOff>
    </xdr:from>
    <xdr:to>
      <xdr:col>0</xdr:col>
      <xdr:colOff>1416826</xdr:colOff>
      <xdr:row>6</xdr:row>
      <xdr:rowOff>402955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8777" y="3657805"/>
          <a:ext cx="678049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23807</xdr:colOff>
      <xdr:row>0</xdr:row>
      <xdr:rowOff>0</xdr:rowOff>
    </xdr:from>
    <xdr:to>
      <xdr:col>1</xdr:col>
      <xdr:colOff>1344104</xdr:colOff>
      <xdr:row>1</xdr:row>
      <xdr:rowOff>334817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07" y="119065"/>
          <a:ext cx="3461257" cy="1306800"/>
        </a:xfrm>
        <a:prstGeom prst="rect">
          <a:avLst/>
        </a:prstGeom>
      </xdr:spPr>
    </xdr:pic>
    <xdr:clientData/>
  </xdr:twoCellAnchor>
  <xdr:twoCellAnchor editAs="oneCell">
    <xdr:from>
      <xdr:col>0</xdr:col>
      <xdr:colOff>764073</xdr:colOff>
      <xdr:row>24</xdr:row>
      <xdr:rowOff>69271</xdr:rowOff>
    </xdr:from>
    <xdr:to>
      <xdr:col>0</xdr:col>
      <xdr:colOff>1295244</xdr:colOff>
      <xdr:row>24</xdr:row>
      <xdr:rowOff>681271</xdr:rowOff>
    </xdr:to>
    <xdr:pic>
      <xdr:nvPicPr>
        <xdr:cNvPr id="12" name="Рисунок 4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073" y="10756321"/>
          <a:ext cx="531171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38108</xdr:colOff>
      <xdr:row>31</xdr:row>
      <xdr:rowOff>62345</xdr:rowOff>
    </xdr:from>
    <xdr:to>
      <xdr:col>5</xdr:col>
      <xdr:colOff>616148</xdr:colOff>
      <xdr:row>38</xdr:row>
      <xdr:rowOff>568391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8" y="15666027"/>
          <a:ext cx="11003585" cy="7416000"/>
        </a:xfrm>
        <a:prstGeom prst="rect">
          <a:avLst/>
        </a:prstGeom>
      </xdr:spPr>
    </xdr:pic>
    <xdr:clientData/>
  </xdr:twoCellAnchor>
  <xdr:twoCellAnchor>
    <xdr:from>
      <xdr:col>1</xdr:col>
      <xdr:colOff>987137</xdr:colOff>
      <xdr:row>18</xdr:row>
      <xdr:rowOff>34637</xdr:rowOff>
    </xdr:from>
    <xdr:to>
      <xdr:col>1</xdr:col>
      <xdr:colOff>2892136</xdr:colOff>
      <xdr:row>20</xdr:row>
      <xdr:rowOff>86593</xdr:rowOff>
    </xdr:to>
    <xdr:sp macro="" textlink="">
      <xdr:nvSpPr>
        <xdr:cNvPr id="13" name="Скругленный прямоугольник 12"/>
        <xdr:cNvSpPr/>
      </xdr:nvSpPr>
      <xdr:spPr>
        <a:xfrm>
          <a:off x="3117273" y="8814955"/>
          <a:ext cx="1904999" cy="606138"/>
        </a:xfrm>
        <a:prstGeom prst="roundRect">
          <a:avLst/>
        </a:prstGeom>
        <a:gradFill>
          <a:gsLst>
            <a:gs pos="0">
              <a:schemeClr val="tx1">
                <a:lumMod val="85000"/>
                <a:lumOff val="15000"/>
              </a:schemeClr>
            </a:gs>
            <a:gs pos="80000">
              <a:schemeClr val="tx1">
                <a:lumMod val="75000"/>
                <a:lumOff val="25000"/>
              </a:schemeClr>
            </a:gs>
            <a:gs pos="100000">
              <a:schemeClr val="tx1">
                <a:lumMod val="50000"/>
                <a:lumOff val="50000"/>
              </a:schemeClr>
            </a:gs>
          </a:gsLst>
        </a:gra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1160317</xdr:colOff>
      <xdr:row>18</xdr:row>
      <xdr:rowOff>51956</xdr:rowOff>
    </xdr:from>
    <xdr:to>
      <xdr:col>1</xdr:col>
      <xdr:colOff>2805547</xdr:colOff>
      <xdr:row>20</xdr:row>
      <xdr:rowOff>121229</xdr:rowOff>
    </xdr:to>
    <xdr:sp macro="" textlink="">
      <xdr:nvSpPr>
        <xdr:cNvPr id="14" name="TextBox 13"/>
        <xdr:cNvSpPr txBox="1"/>
      </xdr:nvSpPr>
      <xdr:spPr>
        <a:xfrm>
          <a:off x="3290453" y="8832274"/>
          <a:ext cx="1645230" cy="623455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Распродажа </a:t>
          </a:r>
          <a:r>
            <a:rPr lang="ru-RU" sz="1600" b="1">
              <a:solidFill>
                <a:schemeClr val="bg1">
                  <a:lumMod val="85000"/>
                </a:schemeClr>
              </a:solidFill>
              <a:latin typeface="Arial" pitchFamily="34" charset="0"/>
              <a:cs typeface="Arial" pitchFamily="34" charset="0"/>
            </a:rPr>
            <a:t>остатков</a:t>
          </a:r>
        </a:p>
      </xdr:txBody>
    </xdr:sp>
    <xdr:clientData/>
  </xdr:twoCellAnchor>
  <xdr:twoCellAnchor>
    <xdr:from>
      <xdr:col>1</xdr:col>
      <xdr:colOff>2909454</xdr:colOff>
      <xdr:row>18</xdr:row>
      <xdr:rowOff>190500</xdr:rowOff>
    </xdr:from>
    <xdr:to>
      <xdr:col>2</xdr:col>
      <xdr:colOff>467591</xdr:colOff>
      <xdr:row>19</xdr:row>
      <xdr:rowOff>43297</xdr:rowOff>
    </xdr:to>
    <xdr:cxnSp macro="">
      <xdr:nvCxnSpPr>
        <xdr:cNvPr id="15" name="Прямая со стрелкой 14"/>
        <xdr:cNvCxnSpPr/>
      </xdr:nvCxnSpPr>
      <xdr:spPr>
        <a:xfrm flipV="1">
          <a:off x="5039590" y="8970818"/>
          <a:ext cx="640774" cy="129888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329042</xdr:colOff>
      <xdr:row>25</xdr:row>
      <xdr:rowOff>86590</xdr:rowOff>
    </xdr:from>
    <xdr:to>
      <xdr:col>0</xdr:col>
      <xdr:colOff>1484895</xdr:colOff>
      <xdr:row>26</xdr:row>
      <xdr:rowOff>386862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042" y="11932226"/>
          <a:ext cx="1155853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1440872</xdr:colOff>
      <xdr:row>0</xdr:row>
      <xdr:rowOff>235527</xdr:rowOff>
    </xdr:from>
    <xdr:to>
      <xdr:col>2</xdr:col>
      <xdr:colOff>1042101</xdr:colOff>
      <xdr:row>1</xdr:row>
      <xdr:rowOff>175753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29890" y="235527"/>
          <a:ext cx="2773920" cy="896190"/>
        </a:xfrm>
        <a:prstGeom prst="rect">
          <a:avLst/>
        </a:prstGeom>
      </xdr:spPr>
    </xdr:pic>
    <xdr:clientData/>
  </xdr:twoCellAnchor>
  <xdr:twoCellAnchor editAs="oneCell">
    <xdr:from>
      <xdr:col>6</xdr:col>
      <xdr:colOff>484909</xdr:colOff>
      <xdr:row>0</xdr:row>
      <xdr:rowOff>96982</xdr:rowOff>
    </xdr:from>
    <xdr:to>
      <xdr:col>7</xdr:col>
      <xdr:colOff>1784701</xdr:colOff>
      <xdr:row>0</xdr:row>
      <xdr:rowOff>706635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85964" y="96982"/>
          <a:ext cx="2712955" cy="6096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36</xdr:row>
      <xdr:rowOff>28575</xdr:rowOff>
    </xdr:from>
    <xdr:to>
      <xdr:col>0</xdr:col>
      <xdr:colOff>1133475</xdr:colOff>
      <xdr:row>36</xdr:row>
      <xdr:rowOff>457200</xdr:rowOff>
    </xdr:to>
    <xdr:pic>
      <xdr:nvPicPr>
        <xdr:cNvPr id="2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5459075"/>
          <a:ext cx="6381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50</xdr:row>
      <xdr:rowOff>200025</xdr:rowOff>
    </xdr:from>
    <xdr:to>
      <xdr:col>0</xdr:col>
      <xdr:colOff>1323975</xdr:colOff>
      <xdr:row>51</xdr:row>
      <xdr:rowOff>142875</xdr:rowOff>
    </xdr:to>
    <xdr:pic>
      <xdr:nvPicPr>
        <xdr:cNvPr id="3" name="Picture 277" descr="Рисунок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21764625"/>
          <a:ext cx="1047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49</xdr:row>
      <xdr:rowOff>76200</xdr:rowOff>
    </xdr:from>
    <xdr:to>
      <xdr:col>0</xdr:col>
      <xdr:colOff>1247775</xdr:colOff>
      <xdr:row>49</xdr:row>
      <xdr:rowOff>466725</xdr:rowOff>
    </xdr:to>
    <xdr:pic>
      <xdr:nvPicPr>
        <xdr:cNvPr id="4" name="Picture 278" descr="Рисунок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425" y="21097875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48</xdr:row>
      <xdr:rowOff>38100</xdr:rowOff>
    </xdr:from>
    <xdr:to>
      <xdr:col>0</xdr:col>
      <xdr:colOff>1200150</xdr:colOff>
      <xdr:row>48</xdr:row>
      <xdr:rowOff>476250</xdr:rowOff>
    </xdr:to>
    <xdr:pic>
      <xdr:nvPicPr>
        <xdr:cNvPr id="5" name="Picture 279" descr="Рисунок2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9575" y="20535900"/>
          <a:ext cx="790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</xdr:row>
      <xdr:rowOff>28575</xdr:rowOff>
    </xdr:from>
    <xdr:to>
      <xdr:col>0</xdr:col>
      <xdr:colOff>1247775</xdr:colOff>
      <xdr:row>21</xdr:row>
      <xdr:rowOff>247650</xdr:rowOff>
    </xdr:to>
    <xdr:pic>
      <xdr:nvPicPr>
        <xdr:cNvPr id="6" name="Picture 285" descr="IMG_533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11344275"/>
          <a:ext cx="1162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22</xdr:row>
      <xdr:rowOff>66675</xdr:rowOff>
    </xdr:from>
    <xdr:to>
      <xdr:col>0</xdr:col>
      <xdr:colOff>1143000</xdr:colOff>
      <xdr:row>25</xdr:row>
      <xdr:rowOff>228600</xdr:rowOff>
    </xdr:to>
    <xdr:pic>
      <xdr:nvPicPr>
        <xdr:cNvPr id="7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4800" y="11896725"/>
          <a:ext cx="8382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37</xdr:row>
      <xdr:rowOff>19050</xdr:rowOff>
    </xdr:from>
    <xdr:to>
      <xdr:col>0</xdr:col>
      <xdr:colOff>1057275</xdr:colOff>
      <xdr:row>38</xdr:row>
      <xdr:rowOff>9525</xdr:rowOff>
    </xdr:to>
    <xdr:pic>
      <xdr:nvPicPr>
        <xdr:cNvPr id="8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1025" y="15954375"/>
          <a:ext cx="476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38</xdr:row>
      <xdr:rowOff>38100</xdr:rowOff>
    </xdr:from>
    <xdr:to>
      <xdr:col>0</xdr:col>
      <xdr:colOff>1152525</xdr:colOff>
      <xdr:row>39</xdr:row>
      <xdr:rowOff>219076</xdr:rowOff>
    </xdr:to>
    <xdr:pic>
      <xdr:nvPicPr>
        <xdr:cNvPr id="9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0" y="16478250"/>
          <a:ext cx="676275" cy="438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40</xdr:row>
      <xdr:rowOff>28575</xdr:rowOff>
    </xdr:from>
    <xdr:to>
      <xdr:col>0</xdr:col>
      <xdr:colOff>1219200</xdr:colOff>
      <xdr:row>41</xdr:row>
      <xdr:rowOff>238125</xdr:rowOff>
    </xdr:to>
    <xdr:pic>
      <xdr:nvPicPr>
        <xdr:cNvPr id="10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9575" y="16983075"/>
          <a:ext cx="809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42</xdr:row>
      <xdr:rowOff>28575</xdr:rowOff>
    </xdr:from>
    <xdr:to>
      <xdr:col>0</xdr:col>
      <xdr:colOff>1076325</xdr:colOff>
      <xdr:row>43</xdr:row>
      <xdr:rowOff>0</xdr:rowOff>
    </xdr:to>
    <xdr:pic>
      <xdr:nvPicPr>
        <xdr:cNvPr id="11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61975" y="17497425"/>
          <a:ext cx="5143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43</xdr:row>
      <xdr:rowOff>19050</xdr:rowOff>
    </xdr:from>
    <xdr:to>
      <xdr:col>0</xdr:col>
      <xdr:colOff>1152525</xdr:colOff>
      <xdr:row>44</xdr:row>
      <xdr:rowOff>0</xdr:rowOff>
    </xdr:to>
    <xdr:pic>
      <xdr:nvPicPr>
        <xdr:cNvPr id="12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6725" y="17992725"/>
          <a:ext cx="6858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44</xdr:row>
      <xdr:rowOff>28575</xdr:rowOff>
    </xdr:from>
    <xdr:to>
      <xdr:col>0</xdr:col>
      <xdr:colOff>1066800</xdr:colOff>
      <xdr:row>45</xdr:row>
      <xdr:rowOff>9525</xdr:rowOff>
    </xdr:to>
    <xdr:pic>
      <xdr:nvPicPr>
        <xdr:cNvPr id="13" name="Picture 294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3875" y="18507075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45</xdr:row>
      <xdr:rowOff>28575</xdr:rowOff>
    </xdr:from>
    <xdr:to>
      <xdr:col>0</xdr:col>
      <xdr:colOff>1085850</xdr:colOff>
      <xdr:row>46</xdr:row>
      <xdr:rowOff>9525</xdr:rowOff>
    </xdr:to>
    <xdr:pic>
      <xdr:nvPicPr>
        <xdr:cNvPr id="14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4825" y="19011900"/>
          <a:ext cx="581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46</xdr:row>
      <xdr:rowOff>38100</xdr:rowOff>
    </xdr:from>
    <xdr:to>
      <xdr:col>0</xdr:col>
      <xdr:colOff>1009650</xdr:colOff>
      <xdr:row>46</xdr:row>
      <xdr:rowOff>457200</xdr:rowOff>
    </xdr:to>
    <xdr:pic>
      <xdr:nvPicPr>
        <xdr:cNvPr id="15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2925" y="19526250"/>
          <a:ext cx="4667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114299</xdr:colOff>
      <xdr:row>10</xdr:row>
      <xdr:rowOff>152400</xdr:rowOff>
    </xdr:from>
    <xdr:to>
      <xdr:col>0</xdr:col>
      <xdr:colOff>1554299</xdr:colOff>
      <xdr:row>11</xdr:row>
      <xdr:rowOff>650986</xdr:rowOff>
    </xdr:to>
    <xdr:pic>
      <xdr:nvPicPr>
        <xdr:cNvPr id="16" name="Picture 282" descr="Рисунок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4299" y="4953000"/>
          <a:ext cx="1440000" cy="13177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14</xdr:row>
      <xdr:rowOff>180975</xdr:rowOff>
    </xdr:from>
    <xdr:to>
      <xdr:col>0</xdr:col>
      <xdr:colOff>1554299</xdr:colOff>
      <xdr:row>15</xdr:row>
      <xdr:rowOff>681825</xdr:rowOff>
    </xdr:to>
    <xdr:pic>
      <xdr:nvPicPr>
        <xdr:cNvPr id="17" name="Picture 283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299" y="7134225"/>
          <a:ext cx="1440000" cy="1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16</xdr:row>
      <xdr:rowOff>133350</xdr:rowOff>
    </xdr:from>
    <xdr:to>
      <xdr:col>0</xdr:col>
      <xdr:colOff>1554299</xdr:colOff>
      <xdr:row>17</xdr:row>
      <xdr:rowOff>682199</xdr:rowOff>
    </xdr:to>
    <xdr:pic>
      <xdr:nvPicPr>
        <xdr:cNvPr id="18" name="Picture 284" descr="Рисунок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4299" y="8724900"/>
          <a:ext cx="1440000" cy="1367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4</xdr:row>
      <xdr:rowOff>123825</xdr:rowOff>
    </xdr:from>
    <xdr:to>
      <xdr:col>0</xdr:col>
      <xdr:colOff>1554299</xdr:colOff>
      <xdr:row>7</xdr:row>
      <xdr:rowOff>684355</xdr:rowOff>
    </xdr:to>
    <xdr:pic>
      <xdr:nvPicPr>
        <xdr:cNvPr id="19" name="Picture 89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4299" y="2790825"/>
          <a:ext cx="1440000" cy="1360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47</xdr:row>
      <xdr:rowOff>142875</xdr:rowOff>
    </xdr:from>
    <xdr:to>
      <xdr:col>0</xdr:col>
      <xdr:colOff>1419225</xdr:colOff>
      <xdr:row>47</xdr:row>
      <xdr:rowOff>409575</xdr:rowOff>
    </xdr:to>
    <xdr:pic>
      <xdr:nvPicPr>
        <xdr:cNvPr id="20" name="Рисунок 23" descr="dds.jpg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0135850"/>
          <a:ext cx="1228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294410</xdr:colOff>
      <xdr:row>31</xdr:row>
      <xdr:rowOff>4914</xdr:rowOff>
    </xdr:from>
    <xdr:to>
      <xdr:col>0</xdr:col>
      <xdr:colOff>1266410</xdr:colOff>
      <xdr:row>35</xdr:row>
      <xdr:rowOff>184008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410" y="14149539"/>
          <a:ext cx="972000" cy="1207794"/>
        </a:xfrm>
        <a:prstGeom prst="rect">
          <a:avLst/>
        </a:prstGeom>
      </xdr:spPr>
    </xdr:pic>
    <xdr:clientData/>
  </xdr:twoCellAnchor>
  <xdr:twoCellAnchor editAs="oneCell">
    <xdr:from>
      <xdr:col>0</xdr:col>
      <xdr:colOff>294410</xdr:colOff>
      <xdr:row>26</xdr:row>
      <xdr:rowOff>69272</xdr:rowOff>
    </xdr:from>
    <xdr:to>
      <xdr:col>0</xdr:col>
      <xdr:colOff>1266410</xdr:colOff>
      <xdr:row>31</xdr:row>
      <xdr:rowOff>24194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410" y="12928022"/>
          <a:ext cx="972000" cy="1240797"/>
        </a:xfrm>
        <a:prstGeom prst="rect">
          <a:avLst/>
        </a:prstGeom>
      </xdr:spPr>
    </xdr:pic>
    <xdr:clientData/>
  </xdr:twoCellAnchor>
  <xdr:twoCellAnchor editAs="oneCell">
    <xdr:from>
      <xdr:col>0</xdr:col>
      <xdr:colOff>554182</xdr:colOff>
      <xdr:row>0</xdr:row>
      <xdr:rowOff>249382</xdr:rowOff>
    </xdr:from>
    <xdr:to>
      <xdr:col>1</xdr:col>
      <xdr:colOff>1637847</xdr:colOff>
      <xdr:row>1</xdr:row>
      <xdr:rowOff>189608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54182" y="249382"/>
          <a:ext cx="2773920" cy="89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277091</xdr:colOff>
      <xdr:row>0</xdr:row>
      <xdr:rowOff>360218</xdr:rowOff>
    </xdr:from>
    <xdr:to>
      <xdr:col>15</xdr:col>
      <xdr:colOff>551646</xdr:colOff>
      <xdr:row>1</xdr:row>
      <xdr:rowOff>13907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311746" y="360218"/>
          <a:ext cx="2712955" cy="6096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4</xdr:row>
      <xdr:rowOff>76196</xdr:rowOff>
    </xdr:from>
    <xdr:to>
      <xdr:col>0</xdr:col>
      <xdr:colOff>2459624</xdr:colOff>
      <xdr:row>6</xdr:row>
      <xdr:rowOff>477063</xdr:rowOff>
    </xdr:to>
    <xdr:pic>
      <xdr:nvPicPr>
        <xdr:cNvPr id="153601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4" y="3401287"/>
          <a:ext cx="2412000" cy="1543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474511</xdr:colOff>
      <xdr:row>25</xdr:row>
      <xdr:rowOff>150669</xdr:rowOff>
    </xdr:from>
    <xdr:to>
      <xdr:col>0</xdr:col>
      <xdr:colOff>1970763</xdr:colOff>
      <xdr:row>26</xdr:row>
      <xdr:rowOff>492287</xdr:rowOff>
    </xdr:to>
    <xdr:pic>
      <xdr:nvPicPr>
        <xdr:cNvPr id="15360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511" y="16516351"/>
          <a:ext cx="1496252" cy="965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578106</xdr:colOff>
      <xdr:row>15</xdr:row>
      <xdr:rowOff>65740</xdr:rowOff>
    </xdr:from>
    <xdr:to>
      <xdr:col>0</xdr:col>
      <xdr:colOff>1714500</xdr:colOff>
      <xdr:row>19</xdr:row>
      <xdr:rowOff>275630</xdr:rowOff>
    </xdr:to>
    <xdr:pic>
      <xdr:nvPicPr>
        <xdr:cNvPr id="153603" name="Picture 18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981" t="14218" r="5601" b="11364"/>
        <a:stretch/>
      </xdr:blipFill>
      <xdr:spPr bwMode="auto">
        <a:xfrm>
          <a:off x="578106" y="11253285"/>
          <a:ext cx="1136394" cy="145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452442</xdr:colOff>
      <xdr:row>27</xdr:row>
      <xdr:rowOff>71438</xdr:rowOff>
    </xdr:from>
    <xdr:to>
      <xdr:col>0</xdr:col>
      <xdr:colOff>1663736</xdr:colOff>
      <xdr:row>27</xdr:row>
      <xdr:rowOff>575438</xdr:rowOff>
    </xdr:to>
    <xdr:pic>
      <xdr:nvPicPr>
        <xdr:cNvPr id="153605" name="Рисунок 11" descr="Крепление временного ограждения.JPG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2442" y="18168938"/>
          <a:ext cx="1211294" cy="50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51954</xdr:colOff>
      <xdr:row>31</xdr:row>
      <xdr:rowOff>179699</xdr:rowOff>
    </xdr:from>
    <xdr:to>
      <xdr:col>1</xdr:col>
      <xdr:colOff>259772</xdr:colOff>
      <xdr:row>32</xdr:row>
      <xdr:rowOff>581026</xdr:rowOff>
    </xdr:to>
    <xdr:pic>
      <xdr:nvPicPr>
        <xdr:cNvPr id="153607" name="Рисунок 15" descr="штакетник полукруглый - размеры.png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" y="20996154"/>
          <a:ext cx="2736273" cy="1024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173182</xdr:colOff>
      <xdr:row>33</xdr:row>
      <xdr:rowOff>510904</xdr:rowOff>
    </xdr:from>
    <xdr:to>
      <xdr:col>1</xdr:col>
      <xdr:colOff>133484</xdr:colOff>
      <xdr:row>35</xdr:row>
      <xdr:rowOff>300009</xdr:rowOff>
    </xdr:to>
    <xdr:pic>
      <xdr:nvPicPr>
        <xdr:cNvPr id="153608" name="Рисунок 16" descr="штакетник прямоугольный - размеры.png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182" y="22574268"/>
          <a:ext cx="2488757" cy="1036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854643</xdr:colOff>
      <xdr:row>20</xdr:row>
      <xdr:rowOff>49357</xdr:rowOff>
    </xdr:from>
    <xdr:to>
      <xdr:col>0</xdr:col>
      <xdr:colOff>1294643</xdr:colOff>
      <xdr:row>20</xdr:row>
      <xdr:rowOff>589357</xdr:rowOff>
    </xdr:to>
    <xdr:pic>
      <xdr:nvPicPr>
        <xdr:cNvPr id="153612" name="Рисунок 18" descr="крепление рулонной сетки на 51й столб_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4643" y="12795539"/>
          <a:ext cx="44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514337</xdr:colOff>
      <xdr:row>23</xdr:row>
      <xdr:rowOff>80962</xdr:rowOff>
    </xdr:from>
    <xdr:to>
      <xdr:col>0</xdr:col>
      <xdr:colOff>1835727</xdr:colOff>
      <xdr:row>24</xdr:row>
      <xdr:rowOff>545258</xdr:rowOff>
    </xdr:to>
    <xdr:pic>
      <xdr:nvPicPr>
        <xdr:cNvPr id="153614" name="Рисунок 20" descr="ВрО1.jpg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37" y="15528780"/>
          <a:ext cx="1321390" cy="108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123393</xdr:colOff>
      <xdr:row>9</xdr:row>
      <xdr:rowOff>303068</xdr:rowOff>
    </xdr:from>
    <xdr:to>
      <xdr:col>0</xdr:col>
      <xdr:colOff>2463393</xdr:colOff>
      <xdr:row>10</xdr:row>
      <xdr:rowOff>865895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93" y="6347113"/>
          <a:ext cx="2340000" cy="1705827"/>
        </a:xfrm>
        <a:prstGeom prst="rect">
          <a:avLst/>
        </a:prstGeom>
      </xdr:spPr>
    </xdr:pic>
    <xdr:clientData/>
  </xdr:twoCellAnchor>
  <xdr:twoCellAnchor editAs="oneCell">
    <xdr:from>
      <xdr:col>0</xdr:col>
      <xdr:colOff>106074</xdr:colOff>
      <xdr:row>11</xdr:row>
      <xdr:rowOff>194830</xdr:rowOff>
    </xdr:from>
    <xdr:to>
      <xdr:col>0</xdr:col>
      <xdr:colOff>2446074</xdr:colOff>
      <xdr:row>12</xdr:row>
      <xdr:rowOff>800347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74" y="8524875"/>
          <a:ext cx="2340000" cy="1558017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155863</xdr:colOff>
      <xdr:row>31</xdr:row>
      <xdr:rowOff>189316</xdr:rowOff>
    </xdr:from>
    <xdr:to>
      <xdr:col>3</xdr:col>
      <xdr:colOff>11393</xdr:colOff>
      <xdr:row>35</xdr:row>
      <xdr:rowOff>190498</xdr:rowOff>
    </xdr:to>
    <xdr:pic>
      <xdr:nvPicPr>
        <xdr:cNvPr id="153606" name="Рисунок 13" descr="Штакетник.png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4318" y="21005771"/>
          <a:ext cx="1968348" cy="2495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415636</xdr:colOff>
      <xdr:row>0</xdr:row>
      <xdr:rowOff>235527</xdr:rowOff>
    </xdr:from>
    <xdr:to>
      <xdr:col>1</xdr:col>
      <xdr:colOff>584901</xdr:colOff>
      <xdr:row>1</xdr:row>
      <xdr:rowOff>175753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5636" y="235527"/>
          <a:ext cx="2773920" cy="89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1039090</xdr:colOff>
      <xdr:row>0</xdr:row>
      <xdr:rowOff>332509</xdr:rowOff>
    </xdr:from>
    <xdr:to>
      <xdr:col>13</xdr:col>
      <xdr:colOff>1202809</xdr:colOff>
      <xdr:row>0</xdr:row>
      <xdr:rowOff>942162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226145" y="332509"/>
          <a:ext cx="2712955" cy="6096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55560</xdr:colOff>
      <xdr:row>14</xdr:row>
      <xdr:rowOff>57150</xdr:rowOff>
    </xdr:from>
    <xdr:to>
      <xdr:col>0</xdr:col>
      <xdr:colOff>2006760</xdr:colOff>
      <xdr:row>16</xdr:row>
      <xdr:rowOff>353999</xdr:rowOff>
    </xdr:to>
    <xdr:pic>
      <xdr:nvPicPr>
        <xdr:cNvPr id="1484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560" y="6877050"/>
          <a:ext cx="1951200" cy="113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55560</xdr:colOff>
      <xdr:row>7</xdr:row>
      <xdr:rowOff>66675</xdr:rowOff>
    </xdr:from>
    <xdr:to>
      <xdr:col>0</xdr:col>
      <xdr:colOff>2008180</xdr:colOff>
      <xdr:row>9</xdr:row>
      <xdr:rowOff>363524</xdr:rowOff>
    </xdr:to>
    <xdr:pic>
      <xdr:nvPicPr>
        <xdr:cNvPr id="14848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560" y="3448050"/>
          <a:ext cx="1952620" cy="113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55560</xdr:colOff>
      <xdr:row>4</xdr:row>
      <xdr:rowOff>71438</xdr:rowOff>
    </xdr:from>
    <xdr:to>
      <xdr:col>0</xdr:col>
      <xdr:colOff>2006760</xdr:colOff>
      <xdr:row>6</xdr:row>
      <xdr:rowOff>368287</xdr:rowOff>
    </xdr:to>
    <xdr:pic>
      <xdr:nvPicPr>
        <xdr:cNvPr id="148485" name="Picture 5" descr="Откатные на фауресике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560" y="2138363"/>
          <a:ext cx="1951200" cy="113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110424</xdr:colOff>
      <xdr:row>25</xdr:row>
      <xdr:rowOff>195261</xdr:rowOff>
    </xdr:from>
    <xdr:to>
      <xdr:col>1</xdr:col>
      <xdr:colOff>1157686</xdr:colOff>
      <xdr:row>30</xdr:row>
      <xdr:rowOff>76624</xdr:rowOff>
    </xdr:to>
    <xdr:pic>
      <xdr:nvPicPr>
        <xdr:cNvPr id="148486" name="Afbeelding 1088" descr="LSKZ U2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75197" y="12023579"/>
          <a:ext cx="1047262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1223983</xdr:colOff>
      <xdr:row>27</xdr:row>
      <xdr:rowOff>85283</xdr:rowOff>
    </xdr:from>
    <xdr:to>
      <xdr:col>1</xdr:col>
      <xdr:colOff>1520051</xdr:colOff>
      <xdr:row>30</xdr:row>
      <xdr:rowOff>61040</xdr:rowOff>
    </xdr:to>
    <xdr:pic>
      <xdr:nvPicPr>
        <xdr:cNvPr id="148487" name="Afbeelding 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88756" y="12537056"/>
          <a:ext cx="296068" cy="910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1575583</xdr:colOff>
      <xdr:row>27</xdr:row>
      <xdr:rowOff>99937</xdr:rowOff>
    </xdr:from>
    <xdr:to>
      <xdr:col>1</xdr:col>
      <xdr:colOff>1915264</xdr:colOff>
      <xdr:row>30</xdr:row>
      <xdr:rowOff>18764</xdr:rowOff>
    </xdr:to>
    <xdr:pic>
      <xdr:nvPicPr>
        <xdr:cNvPr id="148488" name="Afbeelding 13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20000"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737025" y="12621649"/>
          <a:ext cx="339681" cy="86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55560</xdr:colOff>
      <xdr:row>10</xdr:row>
      <xdr:rowOff>50800</xdr:rowOff>
    </xdr:from>
    <xdr:to>
      <xdr:col>0</xdr:col>
      <xdr:colOff>2006760</xdr:colOff>
      <xdr:row>10</xdr:row>
      <xdr:rowOff>1166800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5560" y="4660900"/>
          <a:ext cx="1951200" cy="1116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8481" name="Object 1" hidden="1">
              <a:extLst>
                <a:ext uri="{63B3BB69-23CF-44E3-9099-C40C66FF867C}">
                  <a14:compatExt spid="_x0000_s148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8482" name="Object 2" hidden="1">
              <a:extLst>
                <a:ext uri="{63B3BB69-23CF-44E3-9099-C40C66FF867C}">
                  <a14:compatExt spid="_x0000_s148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233794</xdr:colOff>
      <xdr:row>33</xdr:row>
      <xdr:rowOff>103908</xdr:rowOff>
    </xdr:from>
    <xdr:to>
      <xdr:col>1</xdr:col>
      <xdr:colOff>1875394</xdr:colOff>
      <xdr:row>33</xdr:row>
      <xdr:rowOff>1183908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8567" y="14356772"/>
          <a:ext cx="16416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207816</xdr:colOff>
      <xdr:row>34</xdr:row>
      <xdr:rowOff>123824</xdr:rowOff>
    </xdr:from>
    <xdr:to>
      <xdr:col>1</xdr:col>
      <xdr:colOff>1662510</xdr:colOff>
      <xdr:row>34</xdr:row>
      <xdr:rowOff>1203824</xdr:rowOff>
    </xdr:to>
    <xdr:pic>
      <xdr:nvPicPr>
        <xdr:cNvPr id="1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2589" y="15623597"/>
          <a:ext cx="145469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769611</xdr:colOff>
      <xdr:row>33</xdr:row>
      <xdr:rowOff>103908</xdr:rowOff>
    </xdr:from>
    <xdr:to>
      <xdr:col>6</xdr:col>
      <xdr:colOff>598496</xdr:colOff>
      <xdr:row>33</xdr:row>
      <xdr:rowOff>1183908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80011" y="14581908"/>
          <a:ext cx="219108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560239</xdr:colOff>
      <xdr:row>34</xdr:row>
      <xdr:rowOff>100447</xdr:rowOff>
    </xdr:from>
    <xdr:to>
      <xdr:col>6</xdr:col>
      <xdr:colOff>807867</xdr:colOff>
      <xdr:row>34</xdr:row>
      <xdr:rowOff>1180447</xdr:rowOff>
    </xdr:to>
    <xdr:pic>
      <xdr:nvPicPr>
        <xdr:cNvPr id="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0639" y="15816697"/>
          <a:ext cx="260982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259080</xdr:colOff>
      <xdr:row>0</xdr:row>
      <xdr:rowOff>259080</xdr:rowOff>
    </xdr:from>
    <xdr:to>
      <xdr:col>1</xdr:col>
      <xdr:colOff>807960</xdr:colOff>
      <xdr:row>1</xdr:row>
      <xdr:rowOff>195150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9080" y="259080"/>
          <a:ext cx="2773920" cy="896190"/>
        </a:xfrm>
        <a:prstGeom prst="rect">
          <a:avLst/>
        </a:prstGeom>
      </xdr:spPr>
    </xdr:pic>
    <xdr:clientData/>
  </xdr:twoCellAnchor>
  <xdr:twoCellAnchor editAs="oneCell">
    <xdr:from>
      <xdr:col>14</xdr:col>
      <xdr:colOff>914400</xdr:colOff>
      <xdr:row>0</xdr:row>
      <xdr:rowOff>320040</xdr:rowOff>
    </xdr:from>
    <xdr:to>
      <xdr:col>16</xdr:col>
      <xdr:colOff>1188955</xdr:colOff>
      <xdr:row>0</xdr:row>
      <xdr:rowOff>929693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284440" y="320040"/>
          <a:ext cx="2712955" cy="6096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42017</xdr:colOff>
      <xdr:row>11</xdr:row>
      <xdr:rowOff>93133</xdr:rowOff>
    </xdr:from>
    <xdr:to>
      <xdr:col>0</xdr:col>
      <xdr:colOff>1799380</xdr:colOff>
      <xdr:row>15</xdr:row>
      <xdr:rowOff>221437</xdr:rowOff>
    </xdr:to>
    <xdr:pic>
      <xdr:nvPicPr>
        <xdr:cNvPr id="2" name="Picture 1" descr="калитки copy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17" y="4580466"/>
          <a:ext cx="1757363" cy="1531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75635</xdr:colOff>
      <xdr:row>4</xdr:row>
      <xdr:rowOff>131234</xdr:rowOff>
    </xdr:from>
    <xdr:to>
      <xdr:col>0</xdr:col>
      <xdr:colOff>1671073</xdr:colOff>
      <xdr:row>7</xdr:row>
      <xdr:rowOff>246468</xdr:rowOff>
    </xdr:to>
    <xdr:pic>
      <xdr:nvPicPr>
        <xdr:cNvPr id="3" name="Picture 2" descr="Ворота copy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5" y="2226734"/>
          <a:ext cx="1595438" cy="1194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277343</xdr:colOff>
      <xdr:row>18</xdr:row>
      <xdr:rowOff>70256</xdr:rowOff>
    </xdr:from>
    <xdr:to>
      <xdr:col>0</xdr:col>
      <xdr:colOff>794222</xdr:colOff>
      <xdr:row>19</xdr:row>
      <xdr:rowOff>295928</xdr:rowOff>
    </xdr:to>
    <xdr:pic>
      <xdr:nvPicPr>
        <xdr:cNvPr id="5" name="Picture 300" descr="00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7343" y="6991756"/>
          <a:ext cx="516879" cy="606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142871</xdr:colOff>
      <xdr:row>24</xdr:row>
      <xdr:rowOff>53486</xdr:rowOff>
    </xdr:from>
    <xdr:to>
      <xdr:col>0</xdr:col>
      <xdr:colOff>1820502</xdr:colOff>
      <xdr:row>25</xdr:row>
      <xdr:rowOff>313793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1" y="9073661"/>
          <a:ext cx="1677631" cy="612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142871</xdr:colOff>
      <xdr:row>22</xdr:row>
      <xdr:rowOff>51655</xdr:rowOff>
    </xdr:from>
    <xdr:to>
      <xdr:col>0</xdr:col>
      <xdr:colOff>1818966</xdr:colOff>
      <xdr:row>23</xdr:row>
      <xdr:rowOff>311963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1" y="8366980"/>
          <a:ext cx="1676095" cy="612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277342</xdr:colOff>
      <xdr:row>20</xdr:row>
      <xdr:rowOff>58616</xdr:rowOff>
    </xdr:from>
    <xdr:to>
      <xdr:col>0</xdr:col>
      <xdr:colOff>817534</xdr:colOff>
      <xdr:row>21</xdr:row>
      <xdr:rowOff>318924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7342" y="7669091"/>
          <a:ext cx="540192" cy="61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79698</xdr:colOff>
      <xdr:row>44</xdr:row>
      <xdr:rowOff>119061</xdr:rowOff>
    </xdr:from>
    <xdr:to>
      <xdr:col>0</xdr:col>
      <xdr:colOff>824244</xdr:colOff>
      <xdr:row>47</xdr:row>
      <xdr:rowOff>238707</xdr:rowOff>
    </xdr:to>
    <xdr:pic>
      <xdr:nvPicPr>
        <xdr:cNvPr id="9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698" y="16035336"/>
          <a:ext cx="744546" cy="12626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1106312</xdr:colOff>
      <xdr:row>44</xdr:row>
      <xdr:rowOff>123824</xdr:rowOff>
    </xdr:from>
    <xdr:to>
      <xdr:col>1</xdr:col>
      <xdr:colOff>1012215</xdr:colOff>
      <xdr:row>47</xdr:row>
      <xdr:rowOff>243470</xdr:rowOff>
    </xdr:to>
    <xdr:pic>
      <xdr:nvPicPr>
        <xdr:cNvPr id="10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06312" y="16040099"/>
          <a:ext cx="1896628" cy="12626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1547815</xdr:colOff>
      <xdr:row>51</xdr:row>
      <xdr:rowOff>90485</xdr:rowOff>
    </xdr:from>
    <xdr:to>
      <xdr:col>1</xdr:col>
      <xdr:colOff>1453716</xdr:colOff>
      <xdr:row>54</xdr:row>
      <xdr:rowOff>244609</xdr:rowOff>
    </xdr:to>
    <xdr:pic>
      <xdr:nvPicPr>
        <xdr:cNvPr id="12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47815" y="18426110"/>
          <a:ext cx="1896626" cy="146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205859</xdr:colOff>
      <xdr:row>51</xdr:row>
      <xdr:rowOff>238125</xdr:rowOff>
    </xdr:from>
    <xdr:to>
      <xdr:col>0</xdr:col>
      <xdr:colOff>1173967</xdr:colOff>
      <xdr:row>54</xdr:row>
      <xdr:rowOff>212249</xdr:rowOff>
    </xdr:to>
    <xdr:pic>
      <xdr:nvPicPr>
        <xdr:cNvPr id="13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859" y="18573750"/>
          <a:ext cx="968108" cy="128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169356</xdr:colOff>
      <xdr:row>24</xdr:row>
      <xdr:rowOff>251256</xdr:rowOff>
    </xdr:from>
    <xdr:to>
      <xdr:col>10</xdr:col>
      <xdr:colOff>1278431</xdr:colOff>
      <xdr:row>26</xdr:row>
      <xdr:rowOff>111745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88129" y="9256711"/>
          <a:ext cx="1109075" cy="5532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210835</xdr:colOff>
      <xdr:row>22</xdr:row>
      <xdr:rowOff>39177</xdr:rowOff>
    </xdr:from>
    <xdr:to>
      <xdr:col>10</xdr:col>
      <xdr:colOff>1157195</xdr:colOff>
      <xdr:row>23</xdr:row>
      <xdr:rowOff>232813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9608" y="8351904"/>
          <a:ext cx="94636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273732</xdr:colOff>
      <xdr:row>27</xdr:row>
      <xdr:rowOff>63441</xdr:rowOff>
    </xdr:from>
    <xdr:to>
      <xdr:col>10</xdr:col>
      <xdr:colOff>1132890</xdr:colOff>
      <xdr:row>29</xdr:row>
      <xdr:rowOff>302719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92505" y="9952123"/>
          <a:ext cx="859158" cy="932005"/>
        </a:xfrm>
        <a:prstGeom prst="rect">
          <a:avLst/>
        </a:prstGeom>
      </xdr:spPr>
    </xdr:pic>
    <xdr:clientData/>
  </xdr:twoCellAnchor>
  <xdr:twoCellAnchor editAs="oneCell">
    <xdr:from>
      <xdr:col>0</xdr:col>
      <xdr:colOff>94155</xdr:colOff>
      <xdr:row>37</xdr:row>
      <xdr:rowOff>187694</xdr:rowOff>
    </xdr:from>
    <xdr:to>
      <xdr:col>0</xdr:col>
      <xdr:colOff>1894155</xdr:colOff>
      <xdr:row>40</xdr:row>
      <xdr:rowOff>188389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55" y="13792022"/>
          <a:ext cx="1800000" cy="1064867"/>
        </a:xfrm>
        <a:prstGeom prst="rect">
          <a:avLst/>
        </a:prstGeom>
      </xdr:spPr>
    </xdr:pic>
    <xdr:clientData/>
  </xdr:twoCellAnchor>
  <xdr:twoCellAnchor editAs="oneCell">
    <xdr:from>
      <xdr:col>0</xdr:col>
      <xdr:colOff>874045</xdr:colOff>
      <xdr:row>31</xdr:row>
      <xdr:rowOff>43846</xdr:rowOff>
    </xdr:from>
    <xdr:to>
      <xdr:col>0</xdr:col>
      <xdr:colOff>1954045</xdr:colOff>
      <xdr:row>32</xdr:row>
      <xdr:rowOff>370325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4045" y="11419417"/>
          <a:ext cx="1080000" cy="707479"/>
        </a:xfrm>
        <a:prstGeom prst="rect">
          <a:avLst/>
        </a:prstGeom>
      </xdr:spPr>
    </xdr:pic>
    <xdr:clientData/>
  </xdr:twoCellAnchor>
  <xdr:twoCellAnchor editAs="oneCell">
    <xdr:from>
      <xdr:col>0</xdr:col>
      <xdr:colOff>20903</xdr:colOff>
      <xdr:row>30</xdr:row>
      <xdr:rowOff>46451</xdr:rowOff>
    </xdr:from>
    <xdr:to>
      <xdr:col>0</xdr:col>
      <xdr:colOff>904528</xdr:colOff>
      <xdr:row>33</xdr:row>
      <xdr:rowOff>343451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3" y="11041022"/>
          <a:ext cx="883625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64298</xdr:colOff>
      <xdr:row>31</xdr:row>
      <xdr:rowOff>52617</xdr:rowOff>
    </xdr:from>
    <xdr:to>
      <xdr:col>10</xdr:col>
      <xdr:colOff>1396298</xdr:colOff>
      <xdr:row>31</xdr:row>
      <xdr:rowOff>354119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993521">
          <a:off x="15702316" y="10960041"/>
          <a:ext cx="301502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541866</xdr:colOff>
      <xdr:row>0</xdr:row>
      <xdr:rowOff>220133</xdr:rowOff>
    </xdr:from>
    <xdr:to>
      <xdr:col>1</xdr:col>
      <xdr:colOff>1266853</xdr:colOff>
      <xdr:row>1</xdr:row>
      <xdr:rowOff>151123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41866" y="220133"/>
          <a:ext cx="2773920" cy="896190"/>
        </a:xfrm>
        <a:prstGeom prst="rect">
          <a:avLst/>
        </a:prstGeom>
      </xdr:spPr>
    </xdr:pic>
    <xdr:clientData/>
  </xdr:twoCellAnchor>
  <xdr:twoCellAnchor editAs="oneCell">
    <xdr:from>
      <xdr:col>16</xdr:col>
      <xdr:colOff>372534</xdr:colOff>
      <xdr:row>0</xdr:row>
      <xdr:rowOff>321733</xdr:rowOff>
    </xdr:from>
    <xdr:to>
      <xdr:col>17</xdr:col>
      <xdr:colOff>1510689</xdr:colOff>
      <xdr:row>0</xdr:row>
      <xdr:rowOff>931386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416934" y="321733"/>
          <a:ext cx="2712955" cy="609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83.emf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X105"/>
  <sheetViews>
    <sheetView showGridLines="0" topLeftCell="A40" zoomScale="55" zoomScaleNormal="55" zoomScaleSheetLayoutView="55" zoomScalePageLayoutView="40" workbookViewId="0">
      <selection activeCell="W4" sqref="W4"/>
    </sheetView>
  </sheetViews>
  <sheetFormatPr defaultColWidth="9.109375" defaultRowHeight="13.2"/>
  <cols>
    <col min="1" max="1" width="52.6640625" style="1" customWidth="1"/>
    <col min="2" max="2" width="20.6640625" style="1" customWidth="1"/>
    <col min="3" max="3" width="15.33203125" style="1" customWidth="1"/>
    <col min="4" max="4" width="17.44140625" style="1" customWidth="1"/>
    <col min="5" max="5" width="14.33203125" style="1" customWidth="1"/>
    <col min="6" max="6" width="17.44140625" style="1" customWidth="1"/>
    <col min="7" max="8" width="18.6640625" style="1" customWidth="1"/>
    <col min="9" max="10" width="28.5546875" style="1" hidden="1" customWidth="1"/>
    <col min="11" max="12" width="29.6640625" style="1" customWidth="1"/>
    <col min="13" max="13" width="27.109375" style="1" hidden="1" customWidth="1"/>
    <col min="14" max="18" width="19.5546875" style="1" hidden="1" customWidth="1"/>
    <col min="19" max="19" width="45.44140625" style="1" hidden="1" customWidth="1"/>
    <col min="20" max="20" width="18.6640625" style="1" customWidth="1"/>
    <col min="21" max="16384" width="9.109375" style="1"/>
  </cols>
  <sheetData>
    <row r="1" spans="1:24" ht="75.75" customHeight="1">
      <c r="B1" s="177"/>
      <c r="C1" s="177"/>
      <c r="D1" s="177"/>
      <c r="E1" s="177"/>
      <c r="F1" s="177"/>
      <c r="G1" s="177"/>
      <c r="H1" s="177"/>
      <c r="I1" s="177"/>
      <c r="J1" s="177"/>
      <c r="K1" s="177"/>
    </row>
    <row r="2" spans="1:24" customFormat="1" ht="33" customHeight="1">
      <c r="A2" s="42"/>
      <c r="B2" s="42"/>
      <c r="C2" s="1"/>
      <c r="D2" s="745" t="s">
        <v>333</v>
      </c>
      <c r="E2" s="745"/>
      <c r="F2" s="745"/>
      <c r="G2" s="745"/>
      <c r="H2" s="297"/>
      <c r="I2" s="96"/>
      <c r="J2" s="96"/>
      <c r="K2" s="189" t="s">
        <v>225</v>
      </c>
      <c r="L2" s="755">
        <v>42989</v>
      </c>
      <c r="M2" s="755"/>
    </row>
    <row r="3" spans="1:24" customFormat="1" ht="110.1" customHeight="1">
      <c r="A3" s="1449" t="s">
        <v>136</v>
      </c>
      <c r="B3" s="1450" t="s">
        <v>325</v>
      </c>
      <c r="C3" s="1450" t="s">
        <v>158</v>
      </c>
      <c r="D3" s="1451" t="s">
        <v>307</v>
      </c>
      <c r="E3" s="1452" t="s">
        <v>101</v>
      </c>
      <c r="F3" s="1452" t="s">
        <v>160</v>
      </c>
      <c r="G3" s="1453" t="s">
        <v>128</v>
      </c>
      <c r="H3" s="1454"/>
      <c r="I3" s="1453" t="s">
        <v>44</v>
      </c>
      <c r="J3" s="1454"/>
      <c r="K3" s="1455" t="s">
        <v>304</v>
      </c>
      <c r="L3" s="1456"/>
      <c r="M3" s="746" t="s">
        <v>136</v>
      </c>
      <c r="N3" s="746"/>
      <c r="O3" s="362" t="s">
        <v>161</v>
      </c>
      <c r="P3" s="362" t="s">
        <v>159</v>
      </c>
      <c r="Q3" s="362" t="s">
        <v>60</v>
      </c>
      <c r="R3" s="32" t="s">
        <v>160</v>
      </c>
      <c r="S3" s="33" t="s">
        <v>104</v>
      </c>
    </row>
    <row r="4" spans="1:24" customFormat="1" ht="27" customHeight="1">
      <c r="A4" s="1457"/>
      <c r="B4" s="1450"/>
      <c r="C4" s="1450"/>
      <c r="D4" s="1458"/>
      <c r="E4" s="1459"/>
      <c r="F4" s="1459"/>
      <c r="G4" s="1460" t="s">
        <v>305</v>
      </c>
      <c r="H4" s="1460" t="s">
        <v>306</v>
      </c>
      <c r="I4" s="1461"/>
      <c r="J4" s="1462"/>
      <c r="K4" s="1463" t="s">
        <v>305</v>
      </c>
      <c r="L4" s="1463" t="s">
        <v>306</v>
      </c>
      <c r="M4" s="747" t="s">
        <v>167</v>
      </c>
      <c r="N4" s="747" t="s">
        <v>63</v>
      </c>
      <c r="O4" s="95">
        <f>'Эл-ты панельных ограждений - 1'!D5</f>
        <v>1.1000000000000001</v>
      </c>
      <c r="P4" s="163">
        <f>'Эл-ты панельных ограждений - 1'!F5</f>
        <v>2</v>
      </c>
      <c r="Q4" s="13">
        <f>'Эл-ты панельных ограждений - 1'!G5</f>
        <v>2.9810000000000003</v>
      </c>
      <c r="R4" s="751">
        <f>'Эл-ты панельных ограждений - 1'!H4</f>
        <v>96</v>
      </c>
      <c r="S4" s="140">
        <f>'Эл-ты панельных ограждений - 1'!I5</f>
        <v>423.15</v>
      </c>
    </row>
    <row r="5" spans="1:24" customFormat="1" ht="21.9" customHeight="1">
      <c r="A5" s="737" t="s">
        <v>331</v>
      </c>
      <c r="B5" s="394" t="s">
        <v>308</v>
      </c>
      <c r="C5" s="395">
        <v>2</v>
      </c>
      <c r="D5" s="396"/>
      <c r="E5" s="397">
        <v>4.46</v>
      </c>
      <c r="F5" s="398">
        <v>210</v>
      </c>
      <c r="G5" s="183">
        <f t="shared" ref="G5:G51" si="0">IF(I5&gt;0,ROUND(I5*(1-$B$70),2),"-")</f>
        <v>808.5</v>
      </c>
      <c r="H5" s="370">
        <f t="shared" ref="H5:H51" si="1">IF(J5&gt;0,ROUND(J5*(1-$B$70),2),"-")</f>
        <v>879.9</v>
      </c>
      <c r="I5" s="184">
        <v>808.5</v>
      </c>
      <c r="J5" s="184">
        <v>879.90000000000009</v>
      </c>
      <c r="K5" s="422">
        <f t="shared" ref="K5:K11" si="2">IF(I5&gt;0,ROUND(((G5+$S4+($S$34*$P4))/2.5),0),"-")</f>
        <v>538</v>
      </c>
      <c r="L5" s="423">
        <f t="shared" ref="L5:L11" si="3">IF(J5&gt;0,ROUND(((H5+$S17+($S$34*$P17))/2.5),0),"-")</f>
        <v>618</v>
      </c>
      <c r="M5" s="750"/>
      <c r="N5" s="750"/>
      <c r="O5" s="92">
        <f>'Эл-ты панельных ограждений - 1'!D6</f>
        <v>1.3</v>
      </c>
      <c r="P5" s="11">
        <f>'Эл-ты панельных ограждений - 1'!F6</f>
        <v>2</v>
      </c>
      <c r="Q5" s="14">
        <f>'Эл-ты панельных ограждений - 1'!G6</f>
        <v>3.5230000000000001</v>
      </c>
      <c r="R5" s="752"/>
      <c r="S5" s="141">
        <f>'Эл-ты панельных ограждений - 1'!I6</f>
        <v>499.8</v>
      </c>
      <c r="T5" s="148"/>
      <c r="U5" s="521"/>
      <c r="V5" s="521"/>
      <c r="W5" s="521"/>
      <c r="X5" s="521"/>
    </row>
    <row r="6" spans="1:24" customFormat="1" ht="21.9" customHeight="1">
      <c r="A6" s="738"/>
      <c r="B6" s="180" t="s">
        <v>309</v>
      </c>
      <c r="C6" s="395">
        <v>2</v>
      </c>
      <c r="D6" s="399"/>
      <c r="E6" s="400">
        <v>5.52</v>
      </c>
      <c r="F6" s="401">
        <v>70</v>
      </c>
      <c r="G6" s="181">
        <f t="shared" si="0"/>
        <v>999.6</v>
      </c>
      <c r="H6" s="369">
        <f t="shared" si="1"/>
        <v>1088.8499999999999</v>
      </c>
      <c r="I6" s="182">
        <v>999.6</v>
      </c>
      <c r="J6" s="182">
        <v>1088.8500000000001</v>
      </c>
      <c r="K6" s="424">
        <f t="shared" si="2"/>
        <v>645</v>
      </c>
      <c r="L6" s="425">
        <f t="shared" si="3"/>
        <v>742</v>
      </c>
      <c r="M6" s="750"/>
      <c r="N6" s="750"/>
      <c r="O6" s="92">
        <f>'Эл-ты панельных ограждений - 1'!D8</f>
        <v>1.5</v>
      </c>
      <c r="P6" s="11">
        <f>'Эл-ты панельных ограждений - 1'!F8</f>
        <v>2</v>
      </c>
      <c r="Q6" s="14">
        <f>'Эл-ты панельных ограждений - 1'!G8</f>
        <v>4.0649999999999995</v>
      </c>
      <c r="R6" s="752"/>
      <c r="S6" s="141">
        <f>'Эл-ты панельных ограждений - 1'!I8</f>
        <v>532.35</v>
      </c>
      <c r="U6" s="521"/>
      <c r="V6" s="521"/>
      <c r="W6" s="521"/>
    </row>
    <row r="7" spans="1:24" customFormat="1" ht="21.9" customHeight="1">
      <c r="A7" s="738"/>
      <c r="B7" s="180" t="s">
        <v>318</v>
      </c>
      <c r="C7" s="395">
        <v>2</v>
      </c>
      <c r="D7" s="399" t="s">
        <v>519</v>
      </c>
      <c r="E7" s="400">
        <v>6.58</v>
      </c>
      <c r="F7" s="401">
        <v>70</v>
      </c>
      <c r="G7" s="181">
        <f t="shared" si="0"/>
        <v>1110.9000000000001</v>
      </c>
      <c r="H7" s="369">
        <f t="shared" si="1"/>
        <v>1215.9000000000001</v>
      </c>
      <c r="I7" s="182">
        <v>1110.9000000000001</v>
      </c>
      <c r="J7" s="182">
        <v>1215.9000000000001</v>
      </c>
      <c r="K7" s="424">
        <f t="shared" si="2"/>
        <v>703</v>
      </c>
      <c r="L7" s="425">
        <f t="shared" si="3"/>
        <v>824</v>
      </c>
      <c r="M7" s="750"/>
      <c r="N7" s="750"/>
      <c r="O7" s="92">
        <f>'Эл-ты панельных ограждений - 1'!D9</f>
        <v>1.7</v>
      </c>
      <c r="P7" s="11">
        <f>'Эл-ты панельных ограждений - 1'!F9</f>
        <v>2</v>
      </c>
      <c r="Q7" s="14">
        <f>'Эл-ты панельных ограждений - 1'!G9</f>
        <v>4.6070000000000002</v>
      </c>
      <c r="R7" s="752"/>
      <c r="S7" s="141">
        <f>'Эл-ты панельных ограждений - 1'!I9</f>
        <v>603.75</v>
      </c>
      <c r="U7" s="521"/>
      <c r="V7" s="521"/>
    </row>
    <row r="8" spans="1:24" customFormat="1" ht="21.9" customHeight="1">
      <c r="A8" s="738"/>
      <c r="B8" s="92" t="s">
        <v>310</v>
      </c>
      <c r="C8" s="395">
        <v>2</v>
      </c>
      <c r="D8" s="399"/>
      <c r="E8" s="400">
        <v>7.64</v>
      </c>
      <c r="F8" s="401">
        <v>70</v>
      </c>
      <c r="G8" s="181">
        <f t="shared" si="0"/>
        <v>1286.25</v>
      </c>
      <c r="H8" s="369">
        <f t="shared" si="1"/>
        <v>1408.05</v>
      </c>
      <c r="I8" s="182">
        <v>1286.25</v>
      </c>
      <c r="J8" s="182">
        <v>1408.05</v>
      </c>
      <c r="K8" s="424">
        <f t="shared" si="2"/>
        <v>801</v>
      </c>
      <c r="L8" s="425">
        <f t="shared" si="3"/>
        <v>940</v>
      </c>
      <c r="M8" s="750"/>
      <c r="N8" s="750"/>
      <c r="O8" s="92">
        <f>'Эл-ты панельных ограждений - 1'!D10</f>
        <v>1.9</v>
      </c>
      <c r="P8" s="11">
        <f>'Эл-ты панельных ограждений - 1'!F10</f>
        <v>2</v>
      </c>
      <c r="Q8" s="14">
        <f>'Эл-ты панельных ограждений - 1'!G10</f>
        <v>5.149</v>
      </c>
      <c r="R8" s="752"/>
      <c r="S8" s="141">
        <f>'Эл-ты панельных ограждений - 1'!I10</f>
        <v>645.75</v>
      </c>
      <c r="U8" s="521"/>
      <c r="V8" s="521"/>
    </row>
    <row r="9" spans="1:24" customFormat="1" ht="21.9" customHeight="1">
      <c r="A9" s="738"/>
      <c r="B9" s="92" t="s">
        <v>311</v>
      </c>
      <c r="C9" s="395">
        <v>2</v>
      </c>
      <c r="D9" s="399"/>
      <c r="E9" s="400">
        <v>8.6999999999999993</v>
      </c>
      <c r="F9" s="401">
        <v>70</v>
      </c>
      <c r="G9" s="181">
        <f t="shared" si="0"/>
        <v>1413.3</v>
      </c>
      <c r="H9" s="369">
        <f t="shared" si="1"/>
        <v>1547.7</v>
      </c>
      <c r="I9" s="182">
        <v>1413.3</v>
      </c>
      <c r="J9" s="182">
        <v>1547.7</v>
      </c>
      <c r="K9" s="424">
        <f t="shared" si="2"/>
        <v>869</v>
      </c>
      <c r="L9" s="425">
        <f t="shared" si="3"/>
        <v>1034</v>
      </c>
      <c r="M9" s="750"/>
      <c r="N9" s="750"/>
      <c r="O9" s="308">
        <f>'Эл-ты панельных ограждений - 1'!D12</f>
        <v>2</v>
      </c>
      <c r="P9" s="11">
        <f>'Эл-ты панельных ограждений - 1'!F12</f>
        <v>3</v>
      </c>
      <c r="Q9" s="14">
        <f>'Эл-ты панельных ограждений - 1'!G12</f>
        <v>5.42</v>
      </c>
      <c r="R9" s="752"/>
      <c r="S9" s="141">
        <f>'Эл-ты панельных ограждений - 1'!I12</f>
        <v>679.35</v>
      </c>
      <c r="U9" s="521"/>
      <c r="V9" s="521"/>
    </row>
    <row r="10" spans="1:24" customFormat="1" ht="21.9" customHeight="1">
      <c r="A10" s="738"/>
      <c r="B10" s="92" t="s">
        <v>319</v>
      </c>
      <c r="C10" s="395">
        <v>3</v>
      </c>
      <c r="D10" s="399" t="s">
        <v>518</v>
      </c>
      <c r="E10" s="400">
        <v>9.69</v>
      </c>
      <c r="F10" s="401">
        <v>70</v>
      </c>
      <c r="G10" s="181">
        <f t="shared" si="0"/>
        <v>1573.95</v>
      </c>
      <c r="H10" s="369">
        <f t="shared" si="1"/>
        <v>1726.2</v>
      </c>
      <c r="I10" s="182">
        <v>1573.95</v>
      </c>
      <c r="J10" s="182">
        <v>1726.2</v>
      </c>
      <c r="K10" s="424">
        <f t="shared" si="2"/>
        <v>969</v>
      </c>
      <c r="L10" s="425">
        <f t="shared" si="3"/>
        <v>1137</v>
      </c>
      <c r="M10" s="750"/>
      <c r="N10" s="750"/>
      <c r="O10" s="92">
        <f>'Эл-ты панельных ограждений - 1'!D13</f>
        <v>2.2000000000000002</v>
      </c>
      <c r="P10" s="11">
        <f>'Эл-ты панельных ограждений - 1'!F13</f>
        <v>3</v>
      </c>
      <c r="Q10" s="14">
        <f>'Эл-ты панельных ограждений - 1'!G13</f>
        <v>5.9620000000000006</v>
      </c>
      <c r="R10" s="752"/>
      <c r="S10" s="141">
        <f>'Эл-ты панельных ограждений - 1'!I13</f>
        <v>747.6</v>
      </c>
      <c r="U10" s="521"/>
      <c r="V10" s="521"/>
    </row>
    <row r="11" spans="1:24" customFormat="1" ht="21.9" customHeight="1">
      <c r="A11" s="738"/>
      <c r="B11" s="278" t="s">
        <v>320</v>
      </c>
      <c r="C11" s="395">
        <v>3</v>
      </c>
      <c r="D11" s="399" t="s">
        <v>520</v>
      </c>
      <c r="E11" s="400">
        <v>10.75</v>
      </c>
      <c r="F11" s="401">
        <v>70</v>
      </c>
      <c r="G11" s="181">
        <f t="shared" si="0"/>
        <v>1677.9</v>
      </c>
      <c r="H11" s="369">
        <f t="shared" si="1"/>
        <v>1844.85</v>
      </c>
      <c r="I11" s="182">
        <v>1677.9</v>
      </c>
      <c r="J11" s="182">
        <v>1844.8500000000001</v>
      </c>
      <c r="K11" s="424">
        <f t="shared" si="2"/>
        <v>1038</v>
      </c>
      <c r="L11" s="425">
        <f t="shared" si="3"/>
        <v>1223</v>
      </c>
      <c r="M11" s="750"/>
      <c r="N11" s="750"/>
      <c r="O11" s="92">
        <f>'Эл-ты панельных ограждений - 1'!D14</f>
        <v>2.4</v>
      </c>
      <c r="P11" s="11">
        <f>'Эл-ты панельных ограждений - 1'!F14</f>
        <v>3</v>
      </c>
      <c r="Q11" s="14">
        <f>'Эл-ты панельных ограждений - 1'!G14</f>
        <v>6.5039999999999996</v>
      </c>
      <c r="R11" s="752"/>
      <c r="S11" s="141">
        <f>'Эл-ты панельных ограждений - 1'!I14</f>
        <v>811.65</v>
      </c>
      <c r="U11" s="521"/>
      <c r="V11" s="521"/>
    </row>
    <row r="12" spans="1:24" customFormat="1" ht="21.9" customHeight="1">
      <c r="A12" s="738"/>
      <c r="B12" s="1439" t="s">
        <v>321</v>
      </c>
      <c r="C12" s="1440">
        <v>3</v>
      </c>
      <c r="D12" s="1441" t="s">
        <v>521</v>
      </c>
      <c r="E12" s="1442">
        <v>12.87</v>
      </c>
      <c r="F12" s="1443">
        <v>70</v>
      </c>
      <c r="G12" s="1444" t="str">
        <f t="shared" si="0"/>
        <v>-</v>
      </c>
      <c r="H12" s="1444">
        <f t="shared" si="1"/>
        <v>2209.1999999999998</v>
      </c>
      <c r="I12" s="1445">
        <v>0</v>
      </c>
      <c r="J12" s="1444">
        <v>2209.2000000000003</v>
      </c>
      <c r="K12" s="1446" t="str">
        <f>IF(I12&gt;0,ROUND(((G12+$S10+($S$34*$P10))/2.5),0),"-")</f>
        <v>-</v>
      </c>
      <c r="L12" s="1446">
        <f>IF(J12&gt;0,ROUND(((H12+$S23+($S$34*$P23))/2.5),0),"-")</f>
        <v>1368</v>
      </c>
      <c r="M12" s="750"/>
      <c r="N12" s="750"/>
      <c r="O12" s="92">
        <f>'Эл-ты панельных ограждений - 1'!D16</f>
        <v>2.5</v>
      </c>
      <c r="P12" s="11">
        <f>'Эл-ты панельных ограждений - 1'!F16</f>
        <v>4</v>
      </c>
      <c r="Q12" s="14">
        <f>'Эл-ты панельных ограждений - 1'!G16</f>
        <v>6.7750000000000004</v>
      </c>
      <c r="R12" s="752"/>
      <c r="S12" s="141">
        <f>'Эл-ты панельных ограждений - 1'!I16</f>
        <v>815.85</v>
      </c>
      <c r="U12" s="521"/>
      <c r="V12" s="521"/>
    </row>
    <row r="13" spans="1:24" customFormat="1" ht="21.9" customHeight="1">
      <c r="A13" s="738"/>
      <c r="B13" s="278" t="s">
        <v>312</v>
      </c>
      <c r="C13" s="395">
        <v>3</v>
      </c>
      <c r="D13" s="399"/>
      <c r="E13" s="400">
        <v>11.81</v>
      </c>
      <c r="F13" s="401">
        <v>70</v>
      </c>
      <c r="G13" s="181">
        <f t="shared" si="0"/>
        <v>1842.75</v>
      </c>
      <c r="H13" s="369">
        <f t="shared" si="1"/>
        <v>2028.6</v>
      </c>
      <c r="I13" s="182">
        <v>1842.75</v>
      </c>
      <c r="J13" s="182">
        <v>2028.6000000000001</v>
      </c>
      <c r="K13" s="424">
        <f>IF(I13&gt;0,ROUND(((G13+$S11+($S$34*$P11))/2.5),0),"-")</f>
        <v>1130</v>
      </c>
      <c r="L13" s="425">
        <f>IF(J13&gt;0,ROUND(((H13+$S24+($S$34*$P24))/2.5),0),"-")</f>
        <v>1320</v>
      </c>
      <c r="M13" s="750"/>
      <c r="N13" s="750"/>
      <c r="O13" s="92">
        <f>'Эл-ты панельных ограждений - 1'!D18</f>
        <v>3</v>
      </c>
      <c r="P13" s="11">
        <f>'Эл-ты панельных ограждений - 1'!F18</f>
        <v>4</v>
      </c>
      <c r="Q13" s="14">
        <f>'Эл-ты панельных ограждений - 1'!G18</f>
        <v>8.129999999999999</v>
      </c>
      <c r="R13" s="752"/>
      <c r="S13" s="141">
        <f>'Эл-ты панельных ограждений - 1'!I18</f>
        <v>976.5</v>
      </c>
      <c r="U13" s="521"/>
      <c r="V13" s="521"/>
    </row>
    <row r="14" spans="1:24" customFormat="1" ht="21.9" customHeight="1">
      <c r="A14" s="738"/>
      <c r="B14" s="278" t="s">
        <v>322</v>
      </c>
      <c r="C14" s="395">
        <v>4</v>
      </c>
      <c r="D14" s="399" t="s">
        <v>522</v>
      </c>
      <c r="E14" s="400">
        <v>12.81</v>
      </c>
      <c r="F14" s="401">
        <v>70</v>
      </c>
      <c r="G14" s="181">
        <f t="shared" si="0"/>
        <v>1997.1</v>
      </c>
      <c r="H14" s="369">
        <f t="shared" si="1"/>
        <v>2198.6999999999998</v>
      </c>
      <c r="I14" s="182">
        <v>1997.1000000000001</v>
      </c>
      <c r="J14" s="182">
        <v>2198.7000000000003</v>
      </c>
      <c r="K14" s="424">
        <f>IF(I14&gt;0,ROUND(((G14+$S12+($S$34*$P12))/2.5),0),"-")</f>
        <v>1216</v>
      </c>
      <c r="L14" s="425">
        <f>IF(J14&gt;0,ROUND(((H14+$S25+($S$34*$P25))/2.5),0),"-")</f>
        <v>1428</v>
      </c>
      <c r="M14" s="750"/>
      <c r="N14" s="748"/>
      <c r="O14" s="93">
        <f>'Эл-ты панельных ограждений - 1'!D19</f>
        <v>4</v>
      </c>
      <c r="P14" s="16">
        <f>'Эл-ты панельных ограждений - 1'!F19</f>
        <v>6</v>
      </c>
      <c r="Q14" s="15">
        <f>'Эл-ты панельных ограждений - 1'!G19</f>
        <v>10.84</v>
      </c>
      <c r="R14" s="759"/>
      <c r="S14" s="142">
        <f>'Эл-ты панельных ограждений - 1'!I19</f>
        <v>1300.95</v>
      </c>
      <c r="U14" s="521"/>
      <c r="V14" s="521"/>
    </row>
    <row r="15" spans="1:24" customFormat="1" ht="21.9" customHeight="1">
      <c r="A15" s="738"/>
      <c r="B15" s="1439" t="s">
        <v>323</v>
      </c>
      <c r="C15" s="1440">
        <v>4</v>
      </c>
      <c r="D15" s="1441" t="s">
        <v>521</v>
      </c>
      <c r="E15" s="1442">
        <v>15.33</v>
      </c>
      <c r="F15" s="1443">
        <v>70</v>
      </c>
      <c r="G15" s="1447" t="str">
        <f t="shared" si="0"/>
        <v>-</v>
      </c>
      <c r="H15" s="1444">
        <f t="shared" si="1"/>
        <v>2630.25</v>
      </c>
      <c r="I15" s="1448">
        <v>0</v>
      </c>
      <c r="J15" s="1444">
        <v>2630.25</v>
      </c>
      <c r="K15" s="1446" t="str">
        <f>IF(I15&gt;0,ROUND(((G15+$S12+($S$34*$P12))/2.5),0),"-")</f>
        <v>-</v>
      </c>
      <c r="L15" s="1446">
        <f>IF(J15&gt;0,ROUND(((H15+$S25+($S$34*$P25))/2.5),0),"-")</f>
        <v>1601</v>
      </c>
      <c r="M15" s="750"/>
      <c r="N15" s="747" t="s">
        <v>39</v>
      </c>
      <c r="O15" s="92">
        <f>'Эл-ты панельных ограждений - 1'!D22</f>
        <v>4</v>
      </c>
      <c r="P15" s="94">
        <f>'Эл-ты панельных ограждений - 1'!F22</f>
        <v>6</v>
      </c>
      <c r="Q15" s="14">
        <f>'Эл-ты панельных ограждений - 1'!G22</f>
        <v>15.52</v>
      </c>
      <c r="R15" s="749">
        <f>'Эл-ты панельных ограждений - 1'!H20</f>
        <v>64</v>
      </c>
      <c r="S15" s="141">
        <f>'Эл-ты панельных ограждений - 1'!I22</f>
        <v>1887.9</v>
      </c>
      <c r="U15" s="521"/>
      <c r="V15" s="521"/>
    </row>
    <row r="16" spans="1:24" customFormat="1" ht="21.9" customHeight="1">
      <c r="A16" s="738"/>
      <c r="B16" s="278" t="s">
        <v>313</v>
      </c>
      <c r="C16" s="395">
        <v>4</v>
      </c>
      <c r="D16" s="399"/>
      <c r="E16" s="400">
        <v>13.87</v>
      </c>
      <c r="F16" s="401">
        <v>70</v>
      </c>
      <c r="G16" s="181">
        <f t="shared" si="0"/>
        <v>2163</v>
      </c>
      <c r="H16" s="369">
        <f t="shared" si="1"/>
        <v>2381.4</v>
      </c>
      <c r="I16" s="182">
        <v>2163</v>
      </c>
      <c r="J16" s="182">
        <v>2381.4</v>
      </c>
      <c r="K16" s="424">
        <f>IF(I16&gt;0,ROUND(((G16+$S13+($S$34*$P13))/2.5),0),"-")</f>
        <v>1347</v>
      </c>
      <c r="L16" s="425">
        <f>IF(J16&gt;0,ROUND(((H16+$S26+($S$34*$P26))/2.5),0),"-")</f>
        <v>1593</v>
      </c>
      <c r="M16" s="748"/>
      <c r="N16" s="748"/>
      <c r="O16" s="113">
        <f>'Эл-ты панельных ограждений - 1'!D23</f>
        <v>5</v>
      </c>
      <c r="P16" s="164">
        <f>'Эл-ты панельных ограждений - 1'!F23</f>
        <v>8</v>
      </c>
      <c r="Q16" s="361">
        <f>'Эл-ты панельных ограждений - 1'!G23</f>
        <v>19.399999999999999</v>
      </c>
      <c r="R16" s="749">
        <f>'Эл-ты панельных ограждений - 1'!H23</f>
        <v>0</v>
      </c>
      <c r="S16" s="363">
        <f>'Эл-ты панельных ограждений - 1'!I23</f>
        <v>2359.35</v>
      </c>
      <c r="U16" s="521"/>
      <c r="V16" s="521"/>
    </row>
    <row r="17" spans="1:22" customFormat="1" ht="21.9" customHeight="1">
      <c r="A17" s="738"/>
      <c r="B17" s="278" t="s">
        <v>324</v>
      </c>
      <c r="C17" s="395">
        <v>4</v>
      </c>
      <c r="D17" s="399" t="s">
        <v>520</v>
      </c>
      <c r="E17" s="400">
        <v>14.93</v>
      </c>
      <c r="F17" s="401">
        <v>70</v>
      </c>
      <c r="G17" s="181">
        <f t="shared" si="0"/>
        <v>2327.85</v>
      </c>
      <c r="H17" s="369">
        <f t="shared" si="1"/>
        <v>2562</v>
      </c>
      <c r="I17" s="182">
        <v>2327.85</v>
      </c>
      <c r="J17" s="182">
        <v>2562</v>
      </c>
      <c r="K17" s="424">
        <f>IF(I17&gt;0,ROUND(((G17+$S13+($S$34*$P13))/2.5),0),"-")</f>
        <v>1412</v>
      </c>
      <c r="L17" s="425">
        <f>IF(J17&gt;0,ROUND(((H17+$S26+($S$34*$P26))/2.5),0),"-")</f>
        <v>1665</v>
      </c>
      <c r="M17" s="747" t="s">
        <v>170</v>
      </c>
      <c r="N17" s="747" t="s">
        <v>63</v>
      </c>
      <c r="O17" s="95">
        <f>'Эл-ты панельных ограждений - 1'!D25</f>
        <v>1.1000000000000001</v>
      </c>
      <c r="P17" s="10">
        <f>'Эл-ты панельных ограждений - 1'!F25</f>
        <v>2</v>
      </c>
      <c r="Q17" s="13">
        <f>'Эл-ты панельных ограждений - 1'!G25</f>
        <v>2.9810000000000003</v>
      </c>
      <c r="R17" s="751">
        <f>'Эл-ты панельных ограждений - 1'!H24</f>
        <v>96</v>
      </c>
      <c r="S17" s="140">
        <f>'Эл-ты панельных ограждений - 1'!I25</f>
        <v>551.25</v>
      </c>
      <c r="U17" s="521"/>
      <c r="V17" s="521"/>
    </row>
    <row r="18" spans="1:22" customFormat="1" ht="21.9" customHeight="1">
      <c r="A18" s="738"/>
      <c r="B18" s="278" t="s">
        <v>314</v>
      </c>
      <c r="C18" s="402">
        <v>4</v>
      </c>
      <c r="D18" s="403"/>
      <c r="E18" s="395">
        <v>15.31</v>
      </c>
      <c r="F18" s="401">
        <v>70</v>
      </c>
      <c r="G18" s="181">
        <f t="shared" si="0"/>
        <v>2388.75</v>
      </c>
      <c r="H18" s="369">
        <f t="shared" si="1"/>
        <v>2628.15</v>
      </c>
      <c r="I18" s="182">
        <v>2388.75</v>
      </c>
      <c r="J18" s="182">
        <v>2628.15</v>
      </c>
      <c r="K18" s="424">
        <f>IF(I18&gt;0,ROUND(((G18+$S15+($S$34*$P15))/2.5),0),"-")</f>
        <v>1847</v>
      </c>
      <c r="L18" s="425">
        <f>IF(J18&gt;0,ROUND(((H18+$S32+($S$34*$P32))/2.5),0),"-")</f>
        <v>2251</v>
      </c>
      <c r="M18" s="750"/>
      <c r="N18" s="750"/>
      <c r="O18" s="92">
        <f>'Эл-ты панельных ограждений - 1'!D26</f>
        <v>1.3</v>
      </c>
      <c r="P18" s="11">
        <f>'Эл-ты панельных ограждений - 1'!F26</f>
        <v>2</v>
      </c>
      <c r="Q18" s="14">
        <f>'Эл-ты панельных ограждений - 1'!G26</f>
        <v>3.5230000000000001</v>
      </c>
      <c r="R18" s="752"/>
      <c r="S18" s="141">
        <f>'Эл-ты панельных ограждений - 1'!I26</f>
        <v>652.04999999999995</v>
      </c>
      <c r="U18" s="521"/>
      <c r="V18" s="521"/>
    </row>
    <row r="19" spans="1:22" customFormat="1" ht="21.9" customHeight="1">
      <c r="A19" s="738"/>
      <c r="B19" s="278" t="s">
        <v>315</v>
      </c>
      <c r="C19" s="402">
        <v>4</v>
      </c>
      <c r="D19" s="403"/>
      <c r="E19" s="395">
        <v>16.32</v>
      </c>
      <c r="F19" s="401">
        <v>70</v>
      </c>
      <c r="G19" s="181">
        <f t="shared" si="0"/>
        <v>2546.25</v>
      </c>
      <c r="H19" s="369">
        <f t="shared" si="1"/>
        <v>2800.35</v>
      </c>
      <c r="I19" s="182">
        <v>2546.25</v>
      </c>
      <c r="J19" s="182">
        <v>2800.35</v>
      </c>
      <c r="K19" s="424">
        <f>IF(I19&gt;0,ROUND(((G19+$S15+($S$34*$P15))/2.5),0),"-")</f>
        <v>1910</v>
      </c>
      <c r="L19" s="425">
        <f>IF(J19&gt;0,ROUND(((H19+$S32+($S$34*$P32))/2.5),0),"-")</f>
        <v>2320</v>
      </c>
      <c r="M19" s="750"/>
      <c r="N19" s="750"/>
      <c r="O19" s="92">
        <f>'Эл-ты панельных ограждений - 1'!D28</f>
        <v>1.5</v>
      </c>
      <c r="P19" s="11">
        <f>'Эл-ты панельных ограждений - 1'!F28</f>
        <v>2</v>
      </c>
      <c r="Q19" s="14">
        <f>'Эл-ты панельных ограждений - 1'!G28</f>
        <v>4.0649999999999995</v>
      </c>
      <c r="R19" s="752"/>
      <c r="S19" s="141">
        <f>'Эл-ты панельных ограждений - 1'!I28</f>
        <v>731.85</v>
      </c>
      <c r="U19" s="521"/>
      <c r="V19" s="521"/>
    </row>
    <row r="20" spans="1:22" customFormat="1" ht="21.9" customHeight="1">
      <c r="A20" s="738"/>
      <c r="B20" s="278" t="s">
        <v>316</v>
      </c>
      <c r="C20" s="402">
        <v>4</v>
      </c>
      <c r="D20" s="403"/>
      <c r="E20" s="395">
        <v>17.34</v>
      </c>
      <c r="F20" s="401">
        <v>70</v>
      </c>
      <c r="G20" s="181">
        <f t="shared" si="0"/>
        <v>2812.95</v>
      </c>
      <c r="H20" s="369">
        <f t="shared" si="1"/>
        <v>3085.95</v>
      </c>
      <c r="I20" s="182">
        <v>2812.9500000000003</v>
      </c>
      <c r="J20" s="182">
        <v>3085.9500000000003</v>
      </c>
      <c r="K20" s="424">
        <f>IF(I20&gt;0,ROUND(((G20+$S15+($S$34*$P15))/2.5),0),"-")</f>
        <v>2016</v>
      </c>
      <c r="L20" s="425">
        <f>IF(J20&gt;0,ROUND(((H20+$S32+($S$34*$P32))/2.5),0),"-")</f>
        <v>2434</v>
      </c>
      <c r="M20" s="750"/>
      <c r="N20" s="750"/>
      <c r="O20" s="92">
        <f>'Эл-ты панельных ограждений - 1'!D29</f>
        <v>1.7</v>
      </c>
      <c r="P20" s="11">
        <f>'Эл-ты панельных ограждений - 1'!F29</f>
        <v>2</v>
      </c>
      <c r="Q20" s="14">
        <f>'Эл-ты панельных ограждений - 1'!G29</f>
        <v>4.6070000000000002</v>
      </c>
      <c r="R20" s="752"/>
      <c r="S20" s="141">
        <f>'Эл-ты панельных ограждений - 1'!I29</f>
        <v>829.5</v>
      </c>
      <c r="U20" s="521"/>
      <c r="V20" s="521"/>
    </row>
    <row r="21" spans="1:22" customFormat="1" ht="21.9" customHeight="1">
      <c r="A21" s="739"/>
      <c r="B21" s="278" t="s">
        <v>317</v>
      </c>
      <c r="C21" s="402">
        <v>5</v>
      </c>
      <c r="D21" s="403"/>
      <c r="E21" s="395">
        <v>19.3</v>
      </c>
      <c r="F21" s="401">
        <v>70</v>
      </c>
      <c r="G21" s="181">
        <f t="shared" si="0"/>
        <v>3130.05</v>
      </c>
      <c r="H21" s="369">
        <f t="shared" si="1"/>
        <v>3433.5</v>
      </c>
      <c r="I21" s="182">
        <v>3130.05</v>
      </c>
      <c r="J21" s="182">
        <v>3433.5</v>
      </c>
      <c r="K21" s="424">
        <f>IF(I21&gt;0,ROUND(((G21+$S16+($S$34*$P16))/2.5),0),"-")</f>
        <v>2377</v>
      </c>
      <c r="L21" s="425">
        <f>IF(J21&gt;0,ROUND(((H21+$S33+($S$34*$P33))/2.5),0),"-")</f>
        <v>2885</v>
      </c>
      <c r="M21" s="750"/>
      <c r="N21" s="750"/>
      <c r="O21" s="92">
        <f>'Эл-ты панельных ограждений - 1'!D30</f>
        <v>1.9</v>
      </c>
      <c r="P21" s="11">
        <f>'Эл-ты панельных ограждений - 1'!F30</f>
        <v>2</v>
      </c>
      <c r="Q21" s="14">
        <f>'Эл-ты панельных ограждений - 1'!G30</f>
        <v>5.149</v>
      </c>
      <c r="R21" s="752"/>
      <c r="S21" s="141">
        <f>'Эл-ты панельных ограждений - 1'!I30</f>
        <v>925.05</v>
      </c>
      <c r="U21" s="521"/>
      <c r="V21" s="521"/>
    </row>
    <row r="22" spans="1:22" customFormat="1" ht="21.9" customHeight="1">
      <c r="A22" s="737" t="s">
        <v>330</v>
      </c>
      <c r="B22" s="394" t="s">
        <v>308</v>
      </c>
      <c r="C22" s="404">
        <v>2</v>
      </c>
      <c r="D22" s="405"/>
      <c r="E22" s="397">
        <v>7.09</v>
      </c>
      <c r="F22" s="398">
        <v>180</v>
      </c>
      <c r="G22" s="183">
        <f t="shared" si="0"/>
        <v>1224.3</v>
      </c>
      <c r="H22" s="370">
        <f t="shared" si="1"/>
        <v>1309.3499999999999</v>
      </c>
      <c r="I22" s="184">
        <v>1224.3</v>
      </c>
      <c r="J22" s="184">
        <v>1309.3500000000001</v>
      </c>
      <c r="K22" s="422">
        <f t="shared" ref="K22:K30" si="4">IF(I22&gt;0,ROUND(((G22+S4+($S$34*P4))/2.5),0),"-")</f>
        <v>704</v>
      </c>
      <c r="L22" s="423">
        <f t="shared" ref="L22:L31" si="5">IF(I22&gt;0,ROUND(((H22+S17+($S$34*P17))/2.5),0),"-")</f>
        <v>790</v>
      </c>
      <c r="M22" s="750"/>
      <c r="N22" s="750"/>
      <c r="O22" s="92">
        <f>'Эл-ты панельных ограждений - 1'!D32</f>
        <v>2</v>
      </c>
      <c r="P22" s="11">
        <f>'Эл-ты панельных ограждений - 1'!F32</f>
        <v>3</v>
      </c>
      <c r="Q22" s="14">
        <f>'Эл-ты панельных ограждений - 1'!G32</f>
        <v>5.42</v>
      </c>
      <c r="R22" s="752"/>
      <c r="S22" s="141">
        <f>'Эл-ты панельных ограждений - 1'!I32</f>
        <v>945</v>
      </c>
      <c r="U22" s="521"/>
      <c r="V22" s="521"/>
    </row>
    <row r="23" spans="1:22" customFormat="1" ht="21.9" customHeight="1">
      <c r="A23" s="738"/>
      <c r="B23" s="180" t="s">
        <v>309</v>
      </c>
      <c r="C23" s="395">
        <v>2</v>
      </c>
      <c r="D23" s="399"/>
      <c r="E23" s="400">
        <v>8.77</v>
      </c>
      <c r="F23" s="401">
        <v>60</v>
      </c>
      <c r="G23" s="181">
        <f t="shared" si="0"/>
        <v>1517.25</v>
      </c>
      <c r="H23" s="369">
        <f t="shared" si="1"/>
        <v>1615.95</v>
      </c>
      <c r="I23" s="182">
        <v>1517.25</v>
      </c>
      <c r="J23" s="182">
        <v>1615.95</v>
      </c>
      <c r="K23" s="424">
        <f t="shared" si="4"/>
        <v>852</v>
      </c>
      <c r="L23" s="425">
        <f t="shared" si="5"/>
        <v>953</v>
      </c>
      <c r="M23" s="750"/>
      <c r="N23" s="750"/>
      <c r="O23" s="92">
        <f>'Эл-ты панельных ограждений - 1'!D33</f>
        <v>2.2000000000000002</v>
      </c>
      <c r="P23" s="11">
        <f>'Эл-ты панельных ограждений - 1'!F33</f>
        <v>3</v>
      </c>
      <c r="Q23" s="14">
        <f>'Эл-ты панельных ограждений - 1'!G33</f>
        <v>5.9620000000000006</v>
      </c>
      <c r="R23" s="752"/>
      <c r="S23" s="141">
        <f>'Эл-ты панельных ограждений - 1'!I33</f>
        <v>1041.5999999999999</v>
      </c>
      <c r="U23" s="521"/>
      <c r="V23" s="521"/>
    </row>
    <row r="24" spans="1:22" customFormat="1" ht="21.9" customHeight="1">
      <c r="A24" s="738"/>
      <c r="B24" s="180" t="s">
        <v>318</v>
      </c>
      <c r="C24" s="395">
        <v>2</v>
      </c>
      <c r="D24" s="399" t="s">
        <v>523</v>
      </c>
      <c r="E24" s="400">
        <v>10.45</v>
      </c>
      <c r="F24" s="401">
        <v>60</v>
      </c>
      <c r="G24" s="181">
        <f t="shared" si="0"/>
        <v>1677.9</v>
      </c>
      <c r="H24" s="369">
        <f t="shared" si="1"/>
        <v>1794.45</v>
      </c>
      <c r="I24" s="182">
        <v>1677.9</v>
      </c>
      <c r="J24" s="182">
        <v>1794.45</v>
      </c>
      <c r="K24" s="424">
        <f t="shared" si="4"/>
        <v>929</v>
      </c>
      <c r="L24" s="425">
        <f t="shared" si="5"/>
        <v>1056</v>
      </c>
      <c r="M24" s="750"/>
      <c r="N24" s="750"/>
      <c r="O24" s="92">
        <f>'Эл-ты панельных ограждений - 1'!D34</f>
        <v>2.4</v>
      </c>
      <c r="P24" s="11">
        <f>'Эл-ты панельных ограждений - 1'!F34</f>
        <v>3</v>
      </c>
      <c r="Q24" s="14">
        <f>'Эл-ты панельных ограждений - 1'!G34</f>
        <v>6.5039999999999996</v>
      </c>
      <c r="R24" s="752"/>
      <c r="S24" s="141">
        <f>'Эл-ты панельных ограждений - 1'!I34</f>
        <v>1100.4000000000001</v>
      </c>
      <c r="U24" s="521"/>
      <c r="V24" s="521"/>
    </row>
    <row r="25" spans="1:22" customFormat="1" ht="21.9" customHeight="1">
      <c r="A25" s="738"/>
      <c r="B25" s="92" t="s">
        <v>310</v>
      </c>
      <c r="C25" s="395">
        <v>2</v>
      </c>
      <c r="D25" s="399"/>
      <c r="E25" s="400">
        <v>12.14</v>
      </c>
      <c r="F25" s="401">
        <v>60</v>
      </c>
      <c r="G25" s="181">
        <f t="shared" si="0"/>
        <v>1946.7</v>
      </c>
      <c r="H25" s="369">
        <f t="shared" si="1"/>
        <v>2084.25</v>
      </c>
      <c r="I25" s="182">
        <v>1946.7</v>
      </c>
      <c r="J25" s="182">
        <v>2084.25</v>
      </c>
      <c r="K25" s="424">
        <f t="shared" si="4"/>
        <v>1066</v>
      </c>
      <c r="L25" s="425">
        <f t="shared" si="5"/>
        <v>1211</v>
      </c>
      <c r="M25" s="750"/>
      <c r="N25" s="750"/>
      <c r="O25" s="92">
        <f>'Эл-ты панельных ограждений - 1'!D36</f>
        <v>2.5</v>
      </c>
      <c r="P25" s="11">
        <f>'Эл-ты панельных ограждений - 1'!F36</f>
        <v>4</v>
      </c>
      <c r="Q25" s="14">
        <f>'Эл-ты панельных ограждений - 1'!G36</f>
        <v>6.7750000000000004</v>
      </c>
      <c r="R25" s="752"/>
      <c r="S25" s="141">
        <f>'Эл-ты панельных ограждений - 1'!I36</f>
        <v>1145.55</v>
      </c>
      <c r="U25" s="521"/>
      <c r="V25" s="521"/>
    </row>
    <row r="26" spans="1:22" customFormat="1" ht="21.9" customHeight="1">
      <c r="A26" s="738"/>
      <c r="B26" s="92" t="s">
        <v>311</v>
      </c>
      <c r="C26" s="395">
        <v>2</v>
      </c>
      <c r="D26" s="399"/>
      <c r="E26" s="400">
        <v>13.83</v>
      </c>
      <c r="F26" s="401">
        <v>60</v>
      </c>
      <c r="G26" s="181">
        <f t="shared" si="0"/>
        <v>2130.4499999999998</v>
      </c>
      <c r="H26" s="369">
        <f t="shared" si="1"/>
        <v>2284.8000000000002</v>
      </c>
      <c r="I26" s="182">
        <v>2130.4500000000003</v>
      </c>
      <c r="J26" s="182">
        <v>2284.8000000000002</v>
      </c>
      <c r="K26" s="424">
        <f t="shared" si="4"/>
        <v>1156</v>
      </c>
      <c r="L26" s="425">
        <f t="shared" si="5"/>
        <v>1329</v>
      </c>
      <c r="M26" s="750"/>
      <c r="N26" s="750"/>
      <c r="O26" s="92">
        <f>'Эл-ты панельных ограждений - 1'!D38</f>
        <v>3</v>
      </c>
      <c r="P26" s="11">
        <f>'Эл-ты панельных ограждений - 1'!F38</f>
        <v>4</v>
      </c>
      <c r="Q26" s="14">
        <f>'Эл-ты панельных ограждений - 1'!G38</f>
        <v>8.129999999999999</v>
      </c>
      <c r="R26" s="752"/>
      <c r="S26" s="141">
        <f>'Эл-ты панельных ограждений - 1'!I38</f>
        <v>1374.45</v>
      </c>
      <c r="U26" s="521"/>
      <c r="V26" s="521"/>
    </row>
    <row r="27" spans="1:22" customFormat="1" ht="21.9" customHeight="1">
      <c r="A27" s="738"/>
      <c r="B27" s="92" t="s">
        <v>319</v>
      </c>
      <c r="C27" s="395">
        <v>3</v>
      </c>
      <c r="D27" s="399" t="s">
        <v>520</v>
      </c>
      <c r="E27" s="400">
        <v>15.41</v>
      </c>
      <c r="F27" s="401">
        <v>60</v>
      </c>
      <c r="G27" s="181">
        <f t="shared" si="0"/>
        <v>2374.0500000000002</v>
      </c>
      <c r="H27" s="369">
        <f t="shared" si="1"/>
        <v>2546.25</v>
      </c>
      <c r="I27" s="182">
        <v>2374.0500000000002</v>
      </c>
      <c r="J27" s="182">
        <v>2546.25</v>
      </c>
      <c r="K27" s="424">
        <f t="shared" si="4"/>
        <v>1289</v>
      </c>
      <c r="L27" s="425">
        <f t="shared" si="5"/>
        <v>1465</v>
      </c>
      <c r="M27" s="750"/>
      <c r="N27" s="750"/>
      <c r="O27" s="279">
        <f>'Эл-ты панельных ограждений - 1'!D39</f>
        <v>4</v>
      </c>
      <c r="P27" s="165">
        <f>'Эл-ты панельных ограждений - 1'!F39</f>
        <v>6</v>
      </c>
      <c r="Q27" s="166">
        <f>'Эл-ты панельных ограждений - 1'!G39</f>
        <v>10.84</v>
      </c>
      <c r="R27" s="752"/>
      <c r="S27" s="167">
        <f>'Эл-ты панельных ограждений - 1'!I39</f>
        <v>1788.15</v>
      </c>
      <c r="U27" s="521"/>
      <c r="V27" s="521"/>
    </row>
    <row r="28" spans="1:22" customFormat="1" ht="21.9" customHeight="1">
      <c r="A28" s="738"/>
      <c r="B28" s="92" t="s">
        <v>320</v>
      </c>
      <c r="C28" s="395">
        <v>3</v>
      </c>
      <c r="D28" s="399" t="s">
        <v>520</v>
      </c>
      <c r="E28" s="400">
        <v>17.09</v>
      </c>
      <c r="F28" s="401">
        <v>60</v>
      </c>
      <c r="G28" s="181">
        <f t="shared" si="0"/>
        <v>2526.3000000000002</v>
      </c>
      <c r="H28" s="369">
        <f t="shared" si="1"/>
        <v>2717.4</v>
      </c>
      <c r="I28" s="182">
        <v>2526.3000000000002</v>
      </c>
      <c r="J28" s="182">
        <v>2717.4</v>
      </c>
      <c r="K28" s="424">
        <f t="shared" si="4"/>
        <v>1378</v>
      </c>
      <c r="L28" s="425">
        <f t="shared" si="5"/>
        <v>1572</v>
      </c>
      <c r="M28" s="750"/>
      <c r="N28" s="747" t="s">
        <v>206</v>
      </c>
      <c r="O28" s="95" t="e">
        <f>'Эл-ты панельных ограждений - 1'!#REF!</f>
        <v>#REF!</v>
      </c>
      <c r="P28" s="10" t="e">
        <f>'Эл-ты панельных ограждений - 1'!#REF!</f>
        <v>#REF!</v>
      </c>
      <c r="Q28" s="13" t="e">
        <f>'Эл-ты панельных ограждений - 1'!#REF!</f>
        <v>#REF!</v>
      </c>
      <c r="R28" s="753" t="e">
        <f>'Эл-ты панельных ограждений - 1'!#REF!</f>
        <v>#REF!</v>
      </c>
      <c r="S28" s="140" t="e">
        <f>'Эл-ты панельных ограждений - 1'!#REF!</f>
        <v>#REF!</v>
      </c>
      <c r="U28" s="521"/>
      <c r="V28" s="521"/>
    </row>
    <row r="29" spans="1:22" customFormat="1" ht="21.9" customHeight="1">
      <c r="A29" s="738"/>
      <c r="B29" s="92" t="s">
        <v>312</v>
      </c>
      <c r="C29" s="395">
        <v>3</v>
      </c>
      <c r="D29" s="399"/>
      <c r="E29" s="400">
        <v>18.78</v>
      </c>
      <c r="F29" s="401">
        <v>60</v>
      </c>
      <c r="G29" s="181">
        <f t="shared" si="0"/>
        <v>2775.15</v>
      </c>
      <c r="H29" s="369">
        <f t="shared" si="1"/>
        <v>2984.1</v>
      </c>
      <c r="I29" s="182">
        <v>2775.15</v>
      </c>
      <c r="J29" s="182">
        <v>2984.1</v>
      </c>
      <c r="K29" s="424">
        <f t="shared" si="4"/>
        <v>1503</v>
      </c>
      <c r="L29" s="425">
        <f t="shared" si="5"/>
        <v>1702</v>
      </c>
      <c r="M29" s="750"/>
      <c r="N29" s="748"/>
      <c r="O29" s="93" t="e">
        <f>'Эл-ты панельных ограждений - 1'!#REF!</f>
        <v>#REF!</v>
      </c>
      <c r="P29" s="16" t="e">
        <f>'Эл-ты панельных ограждений - 1'!#REF!</f>
        <v>#REF!</v>
      </c>
      <c r="Q29" s="15" t="e">
        <f>'Эл-ты панельных ограждений - 1'!#REF!</f>
        <v>#REF!</v>
      </c>
      <c r="R29" s="754"/>
      <c r="S29" s="142" t="e">
        <f>'Эл-ты панельных ограждений - 1'!#REF!</f>
        <v>#REF!</v>
      </c>
      <c r="U29" s="521"/>
      <c r="V29" s="521"/>
    </row>
    <row r="30" spans="1:22" customFormat="1" ht="21.9" customHeight="1">
      <c r="A30" s="738"/>
      <c r="B30" s="92" t="s">
        <v>322</v>
      </c>
      <c r="C30" s="395">
        <v>4</v>
      </c>
      <c r="D30" s="399" t="s">
        <v>523</v>
      </c>
      <c r="E30" s="400">
        <v>20.36</v>
      </c>
      <c r="F30" s="401">
        <v>60</v>
      </c>
      <c r="G30" s="181">
        <f t="shared" si="0"/>
        <v>3009.3</v>
      </c>
      <c r="H30" s="369">
        <f t="shared" si="1"/>
        <v>3236.1</v>
      </c>
      <c r="I30" s="182">
        <v>3009.3</v>
      </c>
      <c r="J30" s="182">
        <v>3236.1000000000004</v>
      </c>
      <c r="K30" s="424">
        <f t="shared" si="4"/>
        <v>1621</v>
      </c>
      <c r="L30" s="425">
        <f t="shared" si="5"/>
        <v>1843</v>
      </c>
      <c r="M30" s="750"/>
      <c r="N30" s="747" t="s">
        <v>208</v>
      </c>
      <c r="O30" s="128">
        <f>'Эл-ты панельных ограждений - 1'!D40</f>
        <v>4</v>
      </c>
      <c r="P30" s="129">
        <f>'Эл-ты панельных ограждений - 1'!F40</f>
        <v>6</v>
      </c>
      <c r="Q30" s="130">
        <f>'Эл-ты панельных ограждений - 1'!G40</f>
        <v>19.2</v>
      </c>
      <c r="R30" s="753">
        <f>'Эл-ты панельных ограждений - 1'!H40</f>
        <v>54</v>
      </c>
      <c r="S30" s="168">
        <f>'Эл-ты панельных ограждений - 1'!I40</f>
        <v>3194.1</v>
      </c>
      <c r="U30" s="521"/>
      <c r="V30" s="521"/>
    </row>
    <row r="31" spans="1:22" customFormat="1" ht="21.9" customHeight="1">
      <c r="A31" s="738"/>
      <c r="B31" s="92" t="s">
        <v>313</v>
      </c>
      <c r="C31" s="395">
        <v>4</v>
      </c>
      <c r="D31" s="399"/>
      <c r="E31" s="400">
        <v>22.04</v>
      </c>
      <c r="F31" s="401">
        <v>60</v>
      </c>
      <c r="G31" s="181">
        <f t="shared" si="0"/>
        <v>3257.1</v>
      </c>
      <c r="H31" s="369">
        <f t="shared" si="1"/>
        <v>3502.8</v>
      </c>
      <c r="I31" s="182">
        <v>3257.1000000000004</v>
      </c>
      <c r="J31" s="182">
        <v>3502.8</v>
      </c>
      <c r="K31" s="424">
        <f>IF(I31&gt;0,ROUND(((G31+S12+($S$34*P12))/2.5),0),"-")</f>
        <v>1720</v>
      </c>
      <c r="L31" s="425">
        <f t="shared" si="5"/>
        <v>2042</v>
      </c>
      <c r="M31" s="750"/>
      <c r="N31" s="748"/>
      <c r="O31" s="93">
        <f>'Эл-ты панельных ограждений - 1'!D41</f>
        <v>5</v>
      </c>
      <c r="P31" s="16">
        <f>'Эл-ты панельных ограждений - 1'!F41</f>
        <v>8</v>
      </c>
      <c r="Q31" s="15">
        <f>'Эл-ты панельных ограждений - 1'!G41</f>
        <v>24</v>
      </c>
      <c r="R31" s="754"/>
      <c r="S31" s="142">
        <f>'Эл-ты панельных ограждений - 1'!I41</f>
        <v>4077.15</v>
      </c>
      <c r="U31" s="521"/>
      <c r="V31" s="521"/>
    </row>
    <row r="32" spans="1:22" customFormat="1" ht="21.9" customHeight="1">
      <c r="A32" s="738"/>
      <c r="B32" s="92" t="s">
        <v>324</v>
      </c>
      <c r="C32" s="395">
        <v>4</v>
      </c>
      <c r="D32" s="399" t="s">
        <v>523</v>
      </c>
      <c r="E32" s="400">
        <v>23.72</v>
      </c>
      <c r="F32" s="401">
        <v>60</v>
      </c>
      <c r="G32" s="181">
        <f t="shared" si="0"/>
        <v>3507</v>
      </c>
      <c r="H32" s="369">
        <f t="shared" si="1"/>
        <v>3769.5</v>
      </c>
      <c r="I32" s="182">
        <v>3507</v>
      </c>
      <c r="J32" s="182">
        <v>3769.5</v>
      </c>
      <c r="K32" s="424">
        <f>IF(I32&gt;0,ROUND(((G32+S13+($S$34*P13))/2.5),0),"-")</f>
        <v>1884</v>
      </c>
      <c r="L32" s="425">
        <f>IF(I32&gt;0,ROUND(((H32+S26+($S$34*P26))/2.5),0),"-")</f>
        <v>2148</v>
      </c>
      <c r="M32" s="750"/>
      <c r="N32" s="747" t="s">
        <v>39</v>
      </c>
      <c r="O32" s="92">
        <f>'Эл-ты панельных ограждений - 1'!D48</f>
        <v>4</v>
      </c>
      <c r="P32" s="11">
        <f>'Эл-ты панельных ограждений - 1'!F48</f>
        <v>6</v>
      </c>
      <c r="Q32" s="14">
        <f>'Эл-ты панельных ограждений - 1'!G48</f>
        <v>15.52</v>
      </c>
      <c r="R32" s="753">
        <f>'Эл-ты панельных ограждений - 1'!H48</f>
        <v>0</v>
      </c>
      <c r="S32" s="141">
        <f>'Эл-ты панельных ограждений - 1'!I48</f>
        <v>2659.65</v>
      </c>
      <c r="U32" s="521"/>
      <c r="V32" s="521"/>
    </row>
    <row r="33" spans="1:22" customFormat="1" ht="21.9" customHeight="1">
      <c r="A33" s="738"/>
      <c r="B33" s="128" t="s">
        <v>314</v>
      </c>
      <c r="C33" s="406">
        <v>4</v>
      </c>
      <c r="D33" s="396"/>
      <c r="E33" s="407">
        <v>24.33</v>
      </c>
      <c r="F33" s="408">
        <v>60</v>
      </c>
      <c r="G33" s="181">
        <f t="shared" si="0"/>
        <v>3596.25</v>
      </c>
      <c r="H33" s="369">
        <f t="shared" si="1"/>
        <v>3865.05</v>
      </c>
      <c r="I33" s="182">
        <v>3596.25</v>
      </c>
      <c r="J33" s="182">
        <v>3865.05</v>
      </c>
      <c r="K33" s="424">
        <f>IF(I33&gt;0,ROUND(((G33+S15+($S$34*P15))/2.5),0),"-")</f>
        <v>2330</v>
      </c>
      <c r="L33" s="425">
        <f>IF(I33&gt;0,ROUND(((H33+S32+($S$34*P32))/2.5),0),"-")</f>
        <v>2746</v>
      </c>
      <c r="M33" s="748"/>
      <c r="N33" s="748"/>
      <c r="O33" s="93">
        <f>'Эл-ты панельных ограждений - 1'!D49</f>
        <v>5</v>
      </c>
      <c r="P33" s="16">
        <f>'Эл-ты панельных ограждений - 1'!F49</f>
        <v>8</v>
      </c>
      <c r="Q33" s="15">
        <f>'Эл-ты панельных ограждений - 1'!G49</f>
        <v>19.399999999999999</v>
      </c>
      <c r="R33" s="754"/>
      <c r="S33" s="142">
        <f>'Эл-ты панельных ограждений - 1'!I49</f>
        <v>3324.3</v>
      </c>
      <c r="U33" s="521"/>
      <c r="V33" s="521"/>
    </row>
    <row r="34" spans="1:22" customFormat="1" ht="21.9" customHeight="1">
      <c r="A34" s="738"/>
      <c r="B34" s="92" t="s">
        <v>315</v>
      </c>
      <c r="C34" s="395">
        <v>4</v>
      </c>
      <c r="D34" s="399"/>
      <c r="E34" s="400">
        <v>25.94</v>
      </c>
      <c r="F34" s="401">
        <v>60</v>
      </c>
      <c r="G34" s="181">
        <f t="shared" si="0"/>
        <v>3834.6</v>
      </c>
      <c r="H34" s="369">
        <f t="shared" si="1"/>
        <v>4121.25</v>
      </c>
      <c r="I34" s="182">
        <v>3834.6000000000004</v>
      </c>
      <c r="J34" s="182">
        <v>4121.25</v>
      </c>
      <c r="K34" s="424">
        <f>IF(I34&gt;0,ROUND(((G34+S15+($S$34*P15))/2.5),0),"-")</f>
        <v>2425</v>
      </c>
      <c r="L34" s="425">
        <f>IF(I34&gt;0,ROUND(((H34+S32+($S$34*P32))/2.5),0),"-")</f>
        <v>2848</v>
      </c>
      <c r="M34" s="760" t="s">
        <v>68</v>
      </c>
      <c r="N34" s="761"/>
      <c r="O34" s="762"/>
      <c r="P34" s="769" t="s">
        <v>235</v>
      </c>
      <c r="Q34" s="772">
        <f>'Эл-ты панельных ограждений - 1'!G50</f>
        <v>0.05</v>
      </c>
      <c r="R34" s="751">
        <f>'Эл-ты панельных ограждений - 1'!H50</f>
        <v>100</v>
      </c>
      <c r="S34" s="756">
        <f>'Эл-ты панельных ограждений - 1'!I50</f>
        <v>56.7</v>
      </c>
      <c r="U34" s="521"/>
      <c r="V34" s="521"/>
    </row>
    <row r="35" spans="1:22" customFormat="1" ht="21.9" customHeight="1">
      <c r="A35" s="738"/>
      <c r="B35" s="92" t="s">
        <v>316</v>
      </c>
      <c r="C35" s="395">
        <v>4</v>
      </c>
      <c r="D35" s="399"/>
      <c r="E35" s="400">
        <v>27.55</v>
      </c>
      <c r="F35" s="401">
        <v>60</v>
      </c>
      <c r="G35" s="181">
        <f t="shared" si="0"/>
        <v>4244.1000000000004</v>
      </c>
      <c r="H35" s="369">
        <f t="shared" si="1"/>
        <v>4550.7</v>
      </c>
      <c r="I35" s="182">
        <v>4244.1000000000004</v>
      </c>
      <c r="J35" s="182">
        <v>4550.7</v>
      </c>
      <c r="K35" s="424">
        <f>IF(I35&gt;0,ROUND(((G35+S15+($S$34*P15))/2.5),0),"-")</f>
        <v>2589</v>
      </c>
      <c r="L35" s="425">
        <f>IF(I35&gt;0,ROUND(((H35+S32+($S$34*P32))/2.5),0),"-")</f>
        <v>3020</v>
      </c>
      <c r="M35" s="763"/>
      <c r="N35" s="764"/>
      <c r="O35" s="765"/>
      <c r="P35" s="770"/>
      <c r="Q35" s="773"/>
      <c r="R35" s="752"/>
      <c r="S35" s="757"/>
      <c r="U35" s="521"/>
      <c r="V35" s="521"/>
    </row>
    <row r="36" spans="1:22" customFormat="1" ht="21.9" customHeight="1">
      <c r="A36" s="739"/>
      <c r="B36" s="93" t="s">
        <v>317</v>
      </c>
      <c r="C36" s="409">
        <v>5</v>
      </c>
      <c r="D36" s="410"/>
      <c r="E36" s="411">
        <v>30.68</v>
      </c>
      <c r="F36" s="412">
        <v>60</v>
      </c>
      <c r="G36" s="367">
        <f t="shared" si="0"/>
        <v>4727.1000000000004</v>
      </c>
      <c r="H36" s="391">
        <f t="shared" si="1"/>
        <v>5069.3999999999996</v>
      </c>
      <c r="I36" s="368">
        <v>4727.1000000000004</v>
      </c>
      <c r="J36" s="368">
        <v>5069.4000000000005</v>
      </c>
      <c r="K36" s="426">
        <f>IF(I36&gt;0,ROUND(((G36+S16+($S$34*P16))/2.5),0),"-")</f>
        <v>3016</v>
      </c>
      <c r="L36" s="427">
        <f>IF(I36&gt;0,ROUND(((H36+S33+($S$34*P33))/2.5),0),"-")</f>
        <v>3539</v>
      </c>
      <c r="M36" s="766"/>
      <c r="N36" s="767"/>
      <c r="O36" s="768"/>
      <c r="P36" s="771"/>
      <c r="Q36" s="774"/>
      <c r="R36" s="759"/>
      <c r="S36" s="758"/>
      <c r="U36" s="521"/>
      <c r="V36" s="521"/>
    </row>
    <row r="37" spans="1:22" customFormat="1" ht="21.9" customHeight="1">
      <c r="A37" s="737" t="s">
        <v>339</v>
      </c>
      <c r="B37" s="95" t="s">
        <v>308</v>
      </c>
      <c r="C37" s="398">
        <v>2</v>
      </c>
      <c r="D37" s="413"/>
      <c r="E37" s="397">
        <v>11.04</v>
      </c>
      <c r="F37" s="398">
        <v>50</v>
      </c>
      <c r="G37" s="392">
        <f t="shared" si="0"/>
        <v>1936.2</v>
      </c>
      <c r="H37" s="370">
        <f t="shared" si="1"/>
        <v>2035.95</v>
      </c>
      <c r="I37" s="184">
        <v>1936.2</v>
      </c>
      <c r="J37" s="184">
        <v>2035.95</v>
      </c>
      <c r="K37" s="422">
        <f t="shared" ref="K37:K46" si="6">ROUND(((G37+S4+($S$34*P4))/2.5),0)</f>
        <v>989</v>
      </c>
      <c r="L37" s="423">
        <f t="shared" ref="L37:L46" si="7">ROUND(((H37+S17+($S$34*P17))/2.5),0)</f>
        <v>1080</v>
      </c>
      <c r="M37" s="386"/>
      <c r="N37" s="386"/>
      <c r="O37" s="386"/>
      <c r="P37" s="387"/>
      <c r="Q37" s="388"/>
      <c r="R37" s="389"/>
      <c r="S37" s="390"/>
      <c r="U37" s="521"/>
      <c r="V37" s="521"/>
    </row>
    <row r="38" spans="1:22" customFormat="1" ht="21.9" customHeight="1">
      <c r="A38" s="738"/>
      <c r="B38" s="185" t="s">
        <v>309</v>
      </c>
      <c r="C38" s="408">
        <v>2</v>
      </c>
      <c r="D38" s="414"/>
      <c r="E38" s="407">
        <v>13.66</v>
      </c>
      <c r="F38" s="408">
        <v>50</v>
      </c>
      <c r="G38" s="206">
        <f t="shared" si="0"/>
        <v>2397.15</v>
      </c>
      <c r="H38" s="369">
        <f t="shared" si="1"/>
        <v>2517.9</v>
      </c>
      <c r="I38" s="182">
        <v>2397.15</v>
      </c>
      <c r="J38" s="182">
        <v>2517.9</v>
      </c>
      <c r="K38" s="424">
        <f t="shared" si="6"/>
        <v>1204</v>
      </c>
      <c r="L38" s="425">
        <f t="shared" si="7"/>
        <v>1313</v>
      </c>
      <c r="M38" s="386"/>
      <c r="N38" s="386"/>
      <c r="O38" s="386"/>
      <c r="P38" s="387"/>
      <c r="Q38" s="388"/>
      <c r="R38" s="389"/>
      <c r="S38" s="390"/>
      <c r="U38" s="521"/>
      <c r="V38" s="521"/>
    </row>
    <row r="39" spans="1:22" customFormat="1" ht="21.9" customHeight="1">
      <c r="A39" s="738"/>
      <c r="B39" s="185" t="s">
        <v>318</v>
      </c>
      <c r="C39" s="408">
        <v>2</v>
      </c>
      <c r="D39" s="414"/>
      <c r="E39" s="407">
        <v>16.29</v>
      </c>
      <c r="F39" s="408">
        <v>50</v>
      </c>
      <c r="G39" s="206">
        <f t="shared" si="0"/>
        <v>2546.25</v>
      </c>
      <c r="H39" s="369">
        <f t="shared" si="1"/>
        <v>2691.15</v>
      </c>
      <c r="I39" s="182">
        <v>2546.25</v>
      </c>
      <c r="J39" s="182">
        <v>2691.15</v>
      </c>
      <c r="K39" s="424">
        <f t="shared" si="6"/>
        <v>1277</v>
      </c>
      <c r="L39" s="425">
        <f t="shared" si="7"/>
        <v>1415</v>
      </c>
      <c r="M39" s="386"/>
      <c r="N39" s="386"/>
      <c r="O39" s="386"/>
      <c r="P39" s="387"/>
      <c r="Q39" s="388"/>
      <c r="R39" s="389"/>
      <c r="S39" s="390"/>
      <c r="U39" s="521"/>
      <c r="V39" s="521"/>
    </row>
    <row r="40" spans="1:22" customFormat="1" ht="21.9" customHeight="1">
      <c r="A40" s="738"/>
      <c r="B40" s="185" t="s">
        <v>310</v>
      </c>
      <c r="C40" s="408">
        <v>2</v>
      </c>
      <c r="D40" s="414"/>
      <c r="E40" s="407">
        <v>18.91</v>
      </c>
      <c r="F40" s="408">
        <v>50</v>
      </c>
      <c r="G40" s="206">
        <f t="shared" si="0"/>
        <v>2955.75</v>
      </c>
      <c r="H40" s="369">
        <f t="shared" si="1"/>
        <v>3125.85</v>
      </c>
      <c r="I40" s="182">
        <v>2955.75</v>
      </c>
      <c r="J40" s="182">
        <v>3125.85</v>
      </c>
      <c r="K40" s="424">
        <f t="shared" si="6"/>
        <v>1469</v>
      </c>
      <c r="L40" s="425">
        <f t="shared" si="7"/>
        <v>1628</v>
      </c>
      <c r="M40" s="386"/>
      <c r="N40" s="386"/>
      <c r="O40" s="386"/>
      <c r="P40" s="387"/>
      <c r="Q40" s="388"/>
      <c r="R40" s="389"/>
      <c r="S40" s="390"/>
      <c r="U40" s="521"/>
      <c r="V40" s="521"/>
    </row>
    <row r="41" spans="1:22" customFormat="1" ht="21.9" customHeight="1">
      <c r="A41" s="738"/>
      <c r="B41" s="185" t="s">
        <v>311</v>
      </c>
      <c r="C41" s="408">
        <v>2</v>
      </c>
      <c r="D41" s="414"/>
      <c r="E41" s="407">
        <v>21.54</v>
      </c>
      <c r="F41" s="408">
        <v>50</v>
      </c>
      <c r="G41" s="393">
        <f t="shared" si="0"/>
        <v>3367.35</v>
      </c>
      <c r="H41" s="369">
        <f t="shared" si="1"/>
        <v>3560.55</v>
      </c>
      <c r="I41" s="182">
        <v>3367.3500000000004</v>
      </c>
      <c r="J41" s="182">
        <v>3560.55</v>
      </c>
      <c r="K41" s="424">
        <f t="shared" si="6"/>
        <v>1651</v>
      </c>
      <c r="L41" s="425">
        <f t="shared" si="7"/>
        <v>1840</v>
      </c>
      <c r="M41" s="386"/>
      <c r="N41" s="386"/>
      <c r="O41" s="386"/>
      <c r="P41" s="387"/>
      <c r="Q41" s="388"/>
      <c r="R41" s="389"/>
      <c r="S41" s="390"/>
      <c r="U41" s="521"/>
      <c r="V41" s="521"/>
    </row>
    <row r="42" spans="1:22" customFormat="1" ht="21.9" customHeight="1">
      <c r="A42" s="738"/>
      <c r="B42" s="92" t="s">
        <v>319</v>
      </c>
      <c r="C42" s="401">
        <v>3</v>
      </c>
      <c r="D42" s="415"/>
      <c r="E42" s="400">
        <v>24</v>
      </c>
      <c r="F42" s="401">
        <v>50</v>
      </c>
      <c r="G42" s="199">
        <f t="shared" si="0"/>
        <v>3750.6</v>
      </c>
      <c r="H42" s="369">
        <f t="shared" si="1"/>
        <v>3964.8</v>
      </c>
      <c r="I42" s="182">
        <v>3750.6000000000004</v>
      </c>
      <c r="J42" s="182">
        <v>3964.8</v>
      </c>
      <c r="K42" s="424">
        <f t="shared" si="6"/>
        <v>1840</v>
      </c>
      <c r="L42" s="425">
        <f t="shared" si="7"/>
        <v>2032</v>
      </c>
      <c r="M42" s="386"/>
      <c r="N42" s="386"/>
      <c r="O42" s="386"/>
      <c r="P42" s="387"/>
      <c r="Q42" s="388"/>
      <c r="R42" s="389"/>
      <c r="S42" s="390"/>
      <c r="U42" s="521"/>
      <c r="V42" s="521"/>
    </row>
    <row r="43" spans="1:22" customFormat="1" ht="21.9" customHeight="1">
      <c r="A43" s="738"/>
      <c r="B43" s="92" t="s">
        <v>320</v>
      </c>
      <c r="C43" s="416">
        <v>3</v>
      </c>
      <c r="D43" s="417"/>
      <c r="E43" s="418">
        <v>26.63</v>
      </c>
      <c r="F43" s="416">
        <v>50</v>
      </c>
      <c r="G43" s="199">
        <f t="shared" si="0"/>
        <v>3994.2</v>
      </c>
      <c r="H43" s="369">
        <f t="shared" si="1"/>
        <v>4231.5</v>
      </c>
      <c r="I43" s="182">
        <v>3994.2000000000003</v>
      </c>
      <c r="J43" s="182">
        <v>4231.5</v>
      </c>
      <c r="K43" s="424">
        <f t="shared" si="6"/>
        <v>1965</v>
      </c>
      <c r="L43" s="425">
        <f t="shared" si="7"/>
        <v>2177</v>
      </c>
      <c r="M43" s="386"/>
      <c r="N43" s="386"/>
      <c r="O43" s="386"/>
      <c r="P43" s="387"/>
      <c r="Q43" s="388"/>
      <c r="R43" s="389"/>
      <c r="S43" s="390"/>
      <c r="U43" s="521"/>
      <c r="V43" s="521"/>
    </row>
    <row r="44" spans="1:22" customFormat="1" ht="21.9" customHeight="1">
      <c r="A44" s="738"/>
      <c r="B44" s="92" t="s">
        <v>312</v>
      </c>
      <c r="C44" s="401">
        <v>3</v>
      </c>
      <c r="D44" s="415"/>
      <c r="E44" s="400">
        <v>29.25</v>
      </c>
      <c r="F44" s="401">
        <v>50</v>
      </c>
      <c r="G44" s="199">
        <f t="shared" si="0"/>
        <v>4385.8500000000004</v>
      </c>
      <c r="H44" s="369">
        <f t="shared" si="1"/>
        <v>4648.3500000000004</v>
      </c>
      <c r="I44" s="182">
        <v>4385.8500000000004</v>
      </c>
      <c r="J44" s="182">
        <v>4648.3500000000004</v>
      </c>
      <c r="K44" s="424">
        <f t="shared" si="6"/>
        <v>2147</v>
      </c>
      <c r="L44" s="425">
        <f t="shared" si="7"/>
        <v>2368</v>
      </c>
      <c r="M44" s="386"/>
      <c r="N44" s="386"/>
      <c r="O44" s="386"/>
      <c r="P44" s="387"/>
      <c r="Q44" s="388"/>
      <c r="R44" s="389"/>
      <c r="S44" s="390"/>
      <c r="U44" s="521"/>
      <c r="V44" s="521"/>
    </row>
    <row r="45" spans="1:22" customFormat="1" ht="21.9" customHeight="1">
      <c r="A45" s="738"/>
      <c r="B45" s="92" t="s">
        <v>322</v>
      </c>
      <c r="C45" s="408">
        <v>4</v>
      </c>
      <c r="D45" s="414"/>
      <c r="E45" s="407">
        <v>31.71</v>
      </c>
      <c r="F45" s="408">
        <v>50</v>
      </c>
      <c r="G45" s="199">
        <f t="shared" si="0"/>
        <v>4754.3999999999996</v>
      </c>
      <c r="H45" s="369">
        <f t="shared" si="1"/>
        <v>5035.8</v>
      </c>
      <c r="I45" s="182">
        <v>4754.4000000000005</v>
      </c>
      <c r="J45" s="182">
        <v>5035.8</v>
      </c>
      <c r="K45" s="424">
        <f t="shared" si="6"/>
        <v>2319</v>
      </c>
      <c r="L45" s="425">
        <f t="shared" si="7"/>
        <v>2563</v>
      </c>
      <c r="M45" s="386"/>
      <c r="N45" s="386"/>
      <c r="O45" s="386"/>
      <c r="P45" s="387"/>
      <c r="Q45" s="388"/>
      <c r="R45" s="389"/>
      <c r="S45" s="390"/>
      <c r="U45" s="521"/>
      <c r="V45" s="521"/>
    </row>
    <row r="46" spans="1:22" customFormat="1" ht="21.9" customHeight="1">
      <c r="A46" s="738"/>
      <c r="B46" s="92" t="s">
        <v>313</v>
      </c>
      <c r="C46" s="408">
        <v>4</v>
      </c>
      <c r="D46" s="414"/>
      <c r="E46" s="407">
        <v>34.340000000000003</v>
      </c>
      <c r="F46" s="408">
        <v>50</v>
      </c>
      <c r="G46" s="199">
        <f t="shared" si="0"/>
        <v>5150.25</v>
      </c>
      <c r="H46" s="369">
        <f t="shared" si="1"/>
        <v>5455.8</v>
      </c>
      <c r="I46" s="182">
        <v>5150.25</v>
      </c>
      <c r="J46" s="182">
        <v>5455.8</v>
      </c>
      <c r="K46" s="424">
        <f t="shared" si="6"/>
        <v>2541</v>
      </c>
      <c r="L46" s="425">
        <f t="shared" si="7"/>
        <v>2823</v>
      </c>
      <c r="M46" s="386"/>
      <c r="N46" s="386"/>
      <c r="O46" s="386"/>
      <c r="P46" s="387"/>
      <c r="Q46" s="388"/>
      <c r="R46" s="389"/>
      <c r="S46" s="390"/>
      <c r="U46" s="521"/>
      <c r="V46" s="521"/>
    </row>
    <row r="47" spans="1:22" customFormat="1" ht="21.9" customHeight="1">
      <c r="A47" s="738"/>
      <c r="B47" s="92" t="s">
        <v>324</v>
      </c>
      <c r="C47" s="408">
        <v>4</v>
      </c>
      <c r="D47" s="414"/>
      <c r="E47" s="407">
        <v>36.96</v>
      </c>
      <c r="F47" s="408">
        <v>50</v>
      </c>
      <c r="G47" s="199">
        <f t="shared" si="0"/>
        <v>5541.9</v>
      </c>
      <c r="H47" s="369">
        <f t="shared" si="1"/>
        <v>5870.55</v>
      </c>
      <c r="I47" s="182">
        <v>5541.9000000000005</v>
      </c>
      <c r="J47" s="182">
        <v>5870.55</v>
      </c>
      <c r="K47" s="424">
        <f>ROUND(((G47+S13+($S$34*P13))/2.5),0)</f>
        <v>2698</v>
      </c>
      <c r="L47" s="425">
        <f>ROUND(((H47+S26+($S$34*P26))/2.5),0)</f>
        <v>2989</v>
      </c>
      <c r="M47" s="386"/>
      <c r="N47" s="386"/>
      <c r="O47" s="386"/>
      <c r="P47" s="387"/>
      <c r="Q47" s="388"/>
      <c r="R47" s="389"/>
      <c r="S47" s="390"/>
      <c r="U47" s="521"/>
      <c r="V47" s="521"/>
    </row>
    <row r="48" spans="1:22" customFormat="1" ht="21.9" customHeight="1">
      <c r="A48" s="738"/>
      <c r="B48" s="92" t="s">
        <v>314</v>
      </c>
      <c r="C48" s="408">
        <v>4</v>
      </c>
      <c r="D48" s="414"/>
      <c r="E48" s="407">
        <v>37.9</v>
      </c>
      <c r="F48" s="408">
        <v>50</v>
      </c>
      <c r="G48" s="199">
        <f t="shared" si="0"/>
        <v>5684.7</v>
      </c>
      <c r="H48" s="369">
        <f t="shared" si="1"/>
        <v>6020.7</v>
      </c>
      <c r="I48" s="182">
        <v>5684.7</v>
      </c>
      <c r="J48" s="182">
        <v>6020.7</v>
      </c>
      <c r="K48" s="424">
        <f>ROUND(((G48+S15+($S$34*P15))/2.5),0)</f>
        <v>3165</v>
      </c>
      <c r="L48" s="425">
        <f>ROUND(((H48+S32+($S$34*P32))/2.5),0)</f>
        <v>3608</v>
      </c>
      <c r="M48" s="386"/>
      <c r="N48" s="386"/>
      <c r="O48" s="386"/>
      <c r="P48" s="387"/>
      <c r="Q48" s="388"/>
      <c r="R48" s="389"/>
      <c r="S48" s="390"/>
      <c r="U48" s="521"/>
      <c r="V48" s="521"/>
    </row>
    <row r="49" spans="1:22" customFormat="1" ht="21.9" customHeight="1">
      <c r="A49" s="738"/>
      <c r="B49" s="92" t="s">
        <v>315</v>
      </c>
      <c r="C49" s="408">
        <v>4</v>
      </c>
      <c r="D49" s="414"/>
      <c r="E49" s="407">
        <v>40.42</v>
      </c>
      <c r="F49" s="408">
        <v>50</v>
      </c>
      <c r="G49" s="199">
        <f t="shared" si="0"/>
        <v>6060.6</v>
      </c>
      <c r="H49" s="369">
        <f t="shared" si="1"/>
        <v>6420.75</v>
      </c>
      <c r="I49" s="182">
        <v>6060.6</v>
      </c>
      <c r="J49" s="182">
        <v>6420.75</v>
      </c>
      <c r="K49" s="424">
        <f>ROUND(((G49+S15+($S$34*P15))/2.5),0)</f>
        <v>3315</v>
      </c>
      <c r="L49" s="425">
        <f>ROUND(((H49+S32+($S$34*P32))/2.5),0)</f>
        <v>3768</v>
      </c>
      <c r="M49" s="386"/>
      <c r="N49" s="386"/>
      <c r="O49" s="386"/>
      <c r="P49" s="387"/>
      <c r="Q49" s="388"/>
      <c r="R49" s="389"/>
      <c r="S49" s="390"/>
      <c r="U49" s="521"/>
      <c r="V49" s="521"/>
    </row>
    <row r="50" spans="1:22" customFormat="1" ht="21.9" customHeight="1">
      <c r="A50" s="738"/>
      <c r="B50" s="92" t="s">
        <v>316</v>
      </c>
      <c r="C50" s="401">
        <v>4</v>
      </c>
      <c r="D50" s="415"/>
      <c r="E50" s="400">
        <v>42.93</v>
      </c>
      <c r="F50" s="401">
        <v>50</v>
      </c>
      <c r="G50" s="199">
        <f t="shared" si="0"/>
        <v>6710.55</v>
      </c>
      <c r="H50" s="369">
        <f t="shared" si="1"/>
        <v>7091.7</v>
      </c>
      <c r="I50" s="182">
        <v>6710.55</v>
      </c>
      <c r="J50" s="182">
        <v>7091.7000000000007</v>
      </c>
      <c r="K50" s="424">
        <f>ROUND(((G50+S15+($S$34*P15))/2.5),0)</f>
        <v>3575</v>
      </c>
      <c r="L50" s="425">
        <f>ROUND(((H50+S32+($S$34*P32))/2.5),0)</f>
        <v>4037</v>
      </c>
      <c r="M50" s="386"/>
      <c r="N50" s="386"/>
      <c r="O50" s="386"/>
      <c r="P50" s="387"/>
      <c r="Q50" s="388"/>
      <c r="R50" s="389"/>
      <c r="S50" s="390"/>
      <c r="U50" s="521"/>
      <c r="V50" s="521"/>
    </row>
    <row r="51" spans="1:22" customFormat="1" ht="21.9" customHeight="1">
      <c r="A51" s="739"/>
      <c r="B51" s="93" t="s">
        <v>317</v>
      </c>
      <c r="C51" s="419">
        <v>5</v>
      </c>
      <c r="D51" s="420"/>
      <c r="E51" s="421">
        <v>47.8</v>
      </c>
      <c r="F51" s="419">
        <v>50</v>
      </c>
      <c r="G51" s="200">
        <f t="shared" si="0"/>
        <v>7384.65</v>
      </c>
      <c r="H51" s="391">
        <f t="shared" si="1"/>
        <v>7894.95</v>
      </c>
      <c r="I51" s="368">
        <v>7384.6500000000005</v>
      </c>
      <c r="J51" s="368">
        <v>7894.9500000000007</v>
      </c>
      <c r="K51" s="426">
        <f>ROUND(((G51+S16+($S$34*P16))/2.5),0)</f>
        <v>4079</v>
      </c>
      <c r="L51" s="427">
        <f>ROUND(((H51+S33+($S$34*P33))/2.5),0)</f>
        <v>4669</v>
      </c>
      <c r="M51" s="386"/>
      <c r="N51" s="386"/>
      <c r="O51" s="386"/>
      <c r="P51" s="387"/>
      <c r="Q51" s="388"/>
      <c r="R51" s="389"/>
      <c r="S51" s="390"/>
      <c r="U51" s="521"/>
      <c r="V51" s="521"/>
    </row>
    <row r="52" spans="1:22" customFormat="1" ht="43.5" customHeight="1">
      <c r="A52" s="1464" t="s">
        <v>344</v>
      </c>
      <c r="B52" s="1464"/>
      <c r="C52" s="1464"/>
      <c r="D52" s="1464"/>
      <c r="E52" s="1464"/>
      <c r="F52" s="1464"/>
      <c r="G52" s="1464"/>
      <c r="H52" s="1464"/>
      <c r="I52" s="1464"/>
      <c r="J52" s="1464"/>
      <c r="K52" s="1464"/>
      <c r="L52" s="1464"/>
      <c r="M52" s="386"/>
      <c r="N52" s="386"/>
      <c r="O52" s="386"/>
      <c r="P52" s="387"/>
      <c r="Q52" s="388"/>
      <c r="R52" s="389"/>
      <c r="S52" s="390"/>
    </row>
    <row r="53" spans="1:22" customFormat="1" ht="21.9" customHeight="1">
      <c r="A53" s="372" t="s">
        <v>327</v>
      </c>
      <c r="B53" s="9"/>
      <c r="C53" s="9"/>
      <c r="D53" s="9"/>
      <c r="E53" s="9"/>
      <c r="F53" s="1"/>
      <c r="G53" s="373"/>
      <c r="H53" s="373"/>
      <c r="I53" s="373"/>
      <c r="J53" s="373"/>
      <c r="K53" s="373"/>
      <c r="L53" s="373"/>
      <c r="M53" s="386"/>
      <c r="N53" s="386"/>
      <c r="O53" s="386"/>
      <c r="P53" s="387"/>
      <c r="Q53" s="388"/>
      <c r="R53" s="389"/>
      <c r="S53" s="390"/>
    </row>
    <row r="54" spans="1:22" customFormat="1" ht="21.9" customHeight="1">
      <c r="A54" s="371" t="s">
        <v>326</v>
      </c>
      <c r="B54" s="62"/>
      <c r="C54" s="62"/>
      <c r="D54" s="62"/>
      <c r="E54" s="62"/>
      <c r="F54" s="373"/>
      <c r="G54" s="373"/>
      <c r="H54" s="373"/>
      <c r="I54" s="373"/>
      <c r="J54" s="373"/>
      <c r="K54" s="373"/>
      <c r="L54" s="373"/>
      <c r="M54" s="386"/>
      <c r="N54" s="386"/>
      <c r="O54" s="386"/>
      <c r="P54" s="387"/>
      <c r="Q54" s="388"/>
      <c r="R54" s="389"/>
      <c r="S54" s="390"/>
    </row>
    <row r="55" spans="1:22" customFormat="1" ht="21.9" customHeight="1">
      <c r="A55" s="348" t="s">
        <v>351</v>
      </c>
      <c r="B55" s="62"/>
      <c r="C55" s="62"/>
      <c r="D55" s="62"/>
      <c r="E55" s="62"/>
      <c r="F55" s="373"/>
      <c r="G55" s="373"/>
      <c r="H55" s="373"/>
      <c r="I55" s="373"/>
      <c r="J55" s="373"/>
      <c r="K55" s="373"/>
      <c r="L55" s="373"/>
      <c r="M55" s="741"/>
      <c r="N55" s="741"/>
      <c r="O55" s="741"/>
      <c r="P55" s="742"/>
      <c r="Q55" s="743"/>
      <c r="R55" s="743"/>
      <c r="S55" s="744"/>
    </row>
    <row r="56" spans="1:22" customFormat="1" ht="21.9" customHeight="1">
      <c r="A56" s="348" t="s">
        <v>352</v>
      </c>
      <c r="B56" s="62"/>
      <c r="C56" s="62"/>
      <c r="D56" s="62"/>
      <c r="E56" s="62"/>
      <c r="F56" s="1"/>
      <c r="G56" s="373"/>
      <c r="H56" s="373"/>
      <c r="I56" s="373"/>
      <c r="J56" s="373"/>
      <c r="K56" s="373"/>
      <c r="L56" s="373"/>
      <c r="M56" s="741"/>
      <c r="N56" s="741"/>
      <c r="O56" s="741"/>
      <c r="P56" s="742"/>
      <c r="Q56" s="743"/>
      <c r="R56" s="743"/>
      <c r="S56" s="744"/>
    </row>
    <row r="57" spans="1:22" customFormat="1" ht="21.9" customHeight="1">
      <c r="A57" s="374" t="s">
        <v>353</v>
      </c>
      <c r="B57" s="62"/>
      <c r="C57" s="62"/>
      <c r="D57" s="62"/>
      <c r="E57" s="62"/>
      <c r="F57" s="373"/>
      <c r="G57" s="373"/>
      <c r="H57" s="373"/>
      <c r="I57" s="373"/>
      <c r="J57" s="373"/>
      <c r="K57" s="373"/>
      <c r="L57" s="373"/>
    </row>
    <row r="58" spans="1:22" customFormat="1" ht="112.5" customHeight="1">
      <c r="A58" s="733" t="s">
        <v>329</v>
      </c>
      <c r="B58" s="733"/>
      <c r="C58" s="733"/>
      <c r="D58" s="2"/>
      <c r="E58" s="733" t="s">
        <v>328</v>
      </c>
      <c r="F58" s="733"/>
      <c r="G58" s="733"/>
      <c r="H58" s="733"/>
      <c r="I58" s="733"/>
      <c r="J58" s="733"/>
      <c r="K58" s="733"/>
      <c r="L58" s="733"/>
    </row>
    <row r="59" spans="1:22" customFormat="1" ht="46.5" customHeight="1">
      <c r="A59" s="194" t="s">
        <v>169</v>
      </c>
      <c r="B59" s="62"/>
      <c r="C59" s="62"/>
      <c r="D59" s="62"/>
      <c r="E59" s="62"/>
      <c r="F59" s="373"/>
      <c r="G59" s="373"/>
      <c r="H59" s="373"/>
      <c r="I59" s="373"/>
      <c r="J59" s="373"/>
      <c r="K59" s="373"/>
      <c r="L59" s="373"/>
    </row>
    <row r="60" spans="1:22" customFormat="1" ht="21.9" customHeight="1">
      <c r="A60" s="187" t="s">
        <v>199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1"/>
    </row>
    <row r="61" spans="1:22" customFormat="1" ht="21.9" customHeight="1">
      <c r="A61" s="187" t="s">
        <v>131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1"/>
    </row>
    <row r="62" spans="1:22" customFormat="1" ht="21.9" customHeight="1">
      <c r="A62" s="187" t="s">
        <v>16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1"/>
    </row>
    <row r="63" spans="1:22" customFormat="1" ht="21.9" customHeight="1">
      <c r="A63" s="188" t="s">
        <v>17</v>
      </c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"/>
    </row>
    <row r="64" spans="1:22" customFormat="1" ht="21.9" customHeight="1">
      <c r="A64" s="187" t="s">
        <v>1</v>
      </c>
      <c r="B64" s="187"/>
      <c r="C64" s="187"/>
      <c r="D64" s="187"/>
      <c r="E64" s="187"/>
      <c r="F64" s="187"/>
      <c r="G64" s="187"/>
      <c r="H64" s="187"/>
      <c r="I64" s="187"/>
      <c r="J64" s="187"/>
      <c r="K64" s="9"/>
      <c r="L64" s="1"/>
    </row>
    <row r="65" spans="1:13" customFormat="1" ht="21.9" customHeight="1">
      <c r="A65" s="187" t="s">
        <v>2</v>
      </c>
      <c r="B65" s="187"/>
      <c r="C65" s="187"/>
      <c r="D65" s="187"/>
      <c r="E65" s="187"/>
      <c r="F65" s="187"/>
      <c r="G65" s="187"/>
      <c r="H65" s="187"/>
      <c r="I65" s="187"/>
      <c r="J65" s="187"/>
      <c r="K65" s="9"/>
      <c r="L65" s="1"/>
    </row>
    <row r="66" spans="1:13" customFormat="1" ht="21.9" customHeight="1">
      <c r="A66" s="195" t="s">
        <v>18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1:13" customFormat="1" ht="40.5" customHeight="1">
      <c r="A67" s="194" t="s">
        <v>551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1"/>
    </row>
    <row r="68" spans="1:13" customFormat="1" ht="21.9" customHeight="1">
      <c r="A68" s="1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1"/>
    </row>
    <row r="69" spans="1:13" customFormat="1" ht="21.9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1"/>
    </row>
    <row r="70" spans="1:13" customFormat="1" ht="40.5" customHeight="1">
      <c r="A70" s="1522" t="s">
        <v>33</v>
      </c>
      <c r="B70" s="734">
        <v>0</v>
      </c>
      <c r="C70" s="735"/>
      <c r="D70" s="735"/>
      <c r="E70" s="736"/>
      <c r="F70" s="9"/>
      <c r="G70" s="9"/>
      <c r="H70" s="9"/>
      <c r="I70" s="9"/>
      <c r="J70" s="9"/>
      <c r="K70" s="9"/>
      <c r="L70" s="1"/>
    </row>
    <row r="71" spans="1:13" customFormat="1" ht="21.9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1"/>
    </row>
    <row r="72" spans="1:13" customFormat="1" ht="21.9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1"/>
    </row>
    <row r="73" spans="1:13" customFormat="1" ht="21.9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1"/>
      <c r="M73" s="103"/>
    </row>
    <row r="74" spans="1:13" customFormat="1" ht="21.9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1"/>
    </row>
    <row r="75" spans="1:13" customFormat="1" ht="21.9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1"/>
    </row>
    <row r="76" spans="1:13" customFormat="1" ht="21.9" customHeight="1">
      <c r="A76" s="5"/>
      <c r="B76" s="4"/>
      <c r="C76" s="4"/>
      <c r="D76" s="4"/>
      <c r="E76" s="4"/>
      <c r="F76" s="4"/>
      <c r="G76" s="4"/>
      <c r="H76" s="4"/>
      <c r="I76" s="4"/>
      <c r="J76" s="4"/>
      <c r="K76" s="4"/>
      <c r="L76" s="1"/>
    </row>
    <row r="77" spans="1:13" customFormat="1" ht="21.9" customHeight="1">
      <c r="A77" s="5"/>
      <c r="B77" s="4"/>
      <c r="C77" s="4"/>
      <c r="D77" s="4"/>
      <c r="E77" s="4"/>
      <c r="F77" s="4"/>
      <c r="G77" s="4"/>
      <c r="H77" s="4"/>
      <c r="I77" s="4"/>
      <c r="J77" s="4"/>
      <c r="K77" s="4"/>
      <c r="L77" s="1"/>
    </row>
    <row r="78" spans="1:13" customFormat="1" ht="21.9" customHeight="1">
      <c r="A78" s="7"/>
      <c r="B78" s="3"/>
      <c r="C78" s="3"/>
      <c r="D78" s="3"/>
      <c r="E78" s="3"/>
      <c r="F78" s="3"/>
      <c r="G78" s="3"/>
      <c r="H78" s="3"/>
      <c r="I78" s="3"/>
      <c r="J78" s="3"/>
      <c r="K78" s="3"/>
      <c r="L78" s="1"/>
    </row>
    <row r="79" spans="1:13" customFormat="1" ht="21.9" customHeight="1">
      <c r="A79" s="7"/>
      <c r="B79" s="3"/>
      <c r="C79" s="3"/>
      <c r="D79" s="3"/>
      <c r="E79" s="3"/>
      <c r="F79" s="3"/>
      <c r="G79" s="3"/>
      <c r="H79" s="3"/>
      <c r="I79" s="3"/>
      <c r="J79" s="3"/>
      <c r="K79" s="3"/>
      <c r="L79" s="1"/>
    </row>
    <row r="80" spans="1:13" customFormat="1" ht="21.9" customHeight="1">
      <c r="A80" s="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</row>
    <row r="81" spans="1:19" customFormat="1" ht="21.9" customHeight="1">
      <c r="A81" s="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1:19" customFormat="1" ht="21.9" customHeight="1">
      <c r="A82" s="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1:19" customFormat="1" ht="21.9" customHeight="1">
      <c r="A83" s="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1:19" customFormat="1" ht="24" customHeight="1">
      <c r="A84" s="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</row>
    <row r="85" spans="1:19" customFormat="1">
      <c r="A85" s="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</row>
    <row r="86" spans="1:19" customFormat="1">
      <c r="A86" s="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customForma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customForma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customForma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customFormat="1" ht="28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7" ht="32.25" customHeight="1"/>
    <row r="98" ht="108.75" customHeight="1"/>
    <row r="105" ht="106.5" customHeight="1"/>
  </sheetData>
  <sheetProtection formatCells="0" formatColumns="0" formatRows="0" insertColumns="0" insertRows="0" insertHyperlinks="0" deleteColumns="0" deleteRows="0" sort="0" autoFilter="0" pivotTables="0"/>
  <mergeCells count="43">
    <mergeCell ref="S34:S36"/>
    <mergeCell ref="A37:A51"/>
    <mergeCell ref="M4:M16"/>
    <mergeCell ref="N4:N14"/>
    <mergeCell ref="R4:R14"/>
    <mergeCell ref="M34:O36"/>
    <mergeCell ref="P34:P36"/>
    <mergeCell ref="Q34:Q36"/>
    <mergeCell ref="R34:R36"/>
    <mergeCell ref="A22:A36"/>
    <mergeCell ref="A3:A4"/>
    <mergeCell ref="B3:B4"/>
    <mergeCell ref="C3:C4"/>
    <mergeCell ref="E3:E4"/>
    <mergeCell ref="F3:F4"/>
    <mergeCell ref="D2:G2"/>
    <mergeCell ref="M3:N3"/>
    <mergeCell ref="N15:N16"/>
    <mergeCell ref="R15:R16"/>
    <mergeCell ref="M17:M33"/>
    <mergeCell ref="N17:N27"/>
    <mergeCell ref="R17:R27"/>
    <mergeCell ref="N28:N29"/>
    <mergeCell ref="R28:R29"/>
    <mergeCell ref="N30:N31"/>
    <mergeCell ref="R30:R31"/>
    <mergeCell ref="N32:N33"/>
    <mergeCell ref="R32:R33"/>
    <mergeCell ref="L2:M2"/>
    <mergeCell ref="M55:O56"/>
    <mergeCell ref="P55:P56"/>
    <mergeCell ref="Q55:Q56"/>
    <mergeCell ref="R55:R56"/>
    <mergeCell ref="S55:S56"/>
    <mergeCell ref="E58:L58"/>
    <mergeCell ref="A58:C58"/>
    <mergeCell ref="B70:E70"/>
    <mergeCell ref="G3:H3"/>
    <mergeCell ref="K3:L3"/>
    <mergeCell ref="I3:J4"/>
    <mergeCell ref="D3:D4"/>
    <mergeCell ref="A5:A21"/>
    <mergeCell ref="A52:L52"/>
  </mergeCells>
  <conditionalFormatting sqref="G1:H1 A54:A57 G67:H1048576 G60:H65 G3:H36 H2">
    <cfRule type="cellIs" dxfId="6" priority="3" operator="equal">
      <formula>0</formula>
    </cfRule>
  </conditionalFormatting>
  <conditionalFormatting sqref="A53">
    <cfRule type="cellIs" dxfId="5" priority="2" operator="equal">
      <formula>0</formula>
    </cfRule>
  </conditionalFormatting>
  <conditionalFormatting sqref="H37:H51">
    <cfRule type="cellIs" dxfId="4" priority="1" operator="equal">
      <formula>0</formula>
    </cfRule>
  </conditionalFormatting>
  <printOptions horizontalCentered="1"/>
  <pageMargins left="0" right="0" top="0" bottom="0" header="0" footer="0"/>
  <pageSetup paperSize="9" scale="43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  <pageSetUpPr fitToPage="1"/>
  </sheetPr>
  <dimension ref="A1:T90"/>
  <sheetViews>
    <sheetView showGridLines="0" zoomScale="55" zoomScaleNormal="55" zoomScaleSheetLayoutView="55" zoomScalePageLayoutView="40" workbookViewId="0">
      <selection activeCell="Z5" sqref="Z5"/>
    </sheetView>
  </sheetViews>
  <sheetFormatPr defaultColWidth="9.109375" defaultRowHeight="13.2"/>
  <cols>
    <col min="1" max="1" width="52.6640625" style="1" customWidth="1"/>
    <col min="2" max="2" width="20.6640625" style="1" customWidth="1"/>
    <col min="3" max="3" width="15.33203125" style="1" customWidth="1"/>
    <col min="4" max="4" width="17.44140625" style="1" customWidth="1"/>
    <col min="5" max="5" width="14.33203125" style="1" customWidth="1"/>
    <col min="6" max="6" width="17.44140625" style="1" customWidth="1"/>
    <col min="7" max="8" width="18.6640625" style="1" customWidth="1"/>
    <col min="9" max="10" width="28.5546875" style="1" hidden="1" customWidth="1"/>
    <col min="11" max="12" width="29.6640625" style="1" customWidth="1"/>
    <col min="13" max="13" width="27.109375" style="1" hidden="1" customWidth="1"/>
    <col min="14" max="18" width="19.5546875" style="1" hidden="1" customWidth="1"/>
    <col min="19" max="19" width="45.44140625" style="1" hidden="1" customWidth="1"/>
    <col min="20" max="20" width="18.6640625" style="1" customWidth="1"/>
    <col min="21" max="16384" width="9.109375" style="1"/>
  </cols>
  <sheetData>
    <row r="1" spans="1:20" ht="75.75" customHeight="1">
      <c r="B1" s="177"/>
      <c r="C1" s="177"/>
      <c r="D1" s="177"/>
      <c r="E1" s="177"/>
      <c r="F1" s="177"/>
      <c r="G1" s="177"/>
      <c r="H1" s="177"/>
      <c r="I1" s="177"/>
      <c r="J1" s="177"/>
      <c r="K1" s="177"/>
    </row>
    <row r="2" spans="1:20" customFormat="1" ht="33" customHeight="1">
      <c r="A2" s="42"/>
      <c r="B2" s="42"/>
      <c r="C2" s="1"/>
      <c r="D2" s="745" t="s">
        <v>332</v>
      </c>
      <c r="E2" s="745"/>
      <c r="F2" s="745"/>
      <c r="G2" s="745"/>
      <c r="H2" s="297"/>
      <c r="I2" s="96"/>
      <c r="J2" s="96"/>
      <c r="K2" s="189" t="s">
        <v>225</v>
      </c>
      <c r="L2" s="755">
        <v>42989</v>
      </c>
      <c r="M2" s="755"/>
    </row>
    <row r="3" spans="1:20" customFormat="1" ht="110.1" customHeight="1">
      <c r="A3" s="1465" t="s">
        <v>136</v>
      </c>
      <c r="B3" s="1466" t="s">
        <v>325</v>
      </c>
      <c r="C3" s="1466" t="s">
        <v>158</v>
      </c>
      <c r="D3" s="1467" t="s">
        <v>307</v>
      </c>
      <c r="E3" s="1468" t="s">
        <v>101</v>
      </c>
      <c r="F3" s="1468" t="s">
        <v>160</v>
      </c>
      <c r="G3" s="1469" t="s">
        <v>128</v>
      </c>
      <c r="H3" s="1470"/>
      <c r="I3" s="1471" t="s">
        <v>44</v>
      </c>
      <c r="J3" s="1472"/>
      <c r="K3" s="1473" t="s">
        <v>304</v>
      </c>
      <c r="L3" s="1474"/>
      <c r="M3" s="746" t="s">
        <v>136</v>
      </c>
      <c r="N3" s="746"/>
      <c r="O3" s="365" t="s">
        <v>161</v>
      </c>
      <c r="P3" s="365" t="s">
        <v>159</v>
      </c>
      <c r="Q3" s="365" t="s">
        <v>60</v>
      </c>
      <c r="R3" s="32" t="s">
        <v>160</v>
      </c>
      <c r="S3" s="33" t="s">
        <v>104</v>
      </c>
    </row>
    <row r="4" spans="1:20" customFormat="1" ht="27" customHeight="1">
      <c r="A4" s="1475"/>
      <c r="B4" s="1466"/>
      <c r="C4" s="1466"/>
      <c r="D4" s="1476"/>
      <c r="E4" s="1477"/>
      <c r="F4" s="1477"/>
      <c r="G4" s="1478" t="s">
        <v>305</v>
      </c>
      <c r="H4" s="1478" t="s">
        <v>306</v>
      </c>
      <c r="I4" s="1479"/>
      <c r="J4" s="1480"/>
      <c r="K4" s="1481" t="s">
        <v>305</v>
      </c>
      <c r="L4" s="1481" t="s">
        <v>306</v>
      </c>
      <c r="M4" s="747" t="s">
        <v>167</v>
      </c>
      <c r="N4" s="747" t="s">
        <v>63</v>
      </c>
      <c r="O4" s="95">
        <f>'Эл-ты панельных ограждений - 1'!D5</f>
        <v>1.1000000000000001</v>
      </c>
      <c r="P4" s="163">
        <f>'Эл-ты панельных ограждений - 1'!F5</f>
        <v>2</v>
      </c>
      <c r="Q4" s="13">
        <f>'Эл-ты панельных ограждений - 1'!G5</f>
        <v>2.9810000000000003</v>
      </c>
      <c r="R4" s="751">
        <f>'Эл-ты панельных ограждений - 1'!H4</f>
        <v>96</v>
      </c>
      <c r="S4" s="140">
        <f>'Эл-ты панельных ограждений - 1'!I5</f>
        <v>423.15</v>
      </c>
    </row>
    <row r="5" spans="1:20" customFormat="1" ht="21.9" customHeight="1">
      <c r="A5" s="747" t="s">
        <v>340</v>
      </c>
      <c r="B5" s="394" t="s">
        <v>318</v>
      </c>
      <c r="C5" s="404" t="s">
        <v>78</v>
      </c>
      <c r="D5" s="405" t="s">
        <v>520</v>
      </c>
      <c r="E5" s="397">
        <v>13.56</v>
      </c>
      <c r="F5" s="398">
        <v>40</v>
      </c>
      <c r="G5" s="183">
        <f t="shared" ref="G5:G30" si="0">IF(I5&gt;0,ROUND(I5*(1-$B$49),2),"-")</f>
        <v>2327.85</v>
      </c>
      <c r="H5" s="370">
        <f t="shared" ref="H5:H30" si="1">IF(J5&gt;0,ROUND(J5*(1-$B$49),2),"-")</f>
        <v>2413.9499999999998</v>
      </c>
      <c r="I5" s="184">
        <v>2327.85</v>
      </c>
      <c r="J5" s="184">
        <v>2413.9500000000003</v>
      </c>
      <c r="K5" s="422">
        <f>IF(I5&gt;0,ROUND(((G5+$S6+($S$33*$P6))/2.5),0),"-")</f>
        <v>1189</v>
      </c>
      <c r="L5" s="423">
        <f>IF(J5&gt;0,ROUND(((H5+$S19+($S$33*$P19))/2.5),0),"-")</f>
        <v>1304</v>
      </c>
      <c r="M5" s="750"/>
      <c r="N5" s="750"/>
      <c r="O5" s="92">
        <f>'Эл-ты панельных ограждений - 1'!D6</f>
        <v>1.3</v>
      </c>
      <c r="P5" s="11">
        <f>'Эл-ты панельных ограждений - 1'!F6</f>
        <v>2</v>
      </c>
      <c r="Q5" s="14">
        <f>'Эл-ты панельных ограждений - 1'!G6</f>
        <v>3.5230000000000001</v>
      </c>
      <c r="R5" s="752"/>
      <c r="S5" s="141">
        <f>'Эл-ты панельных ограждений - 1'!I6</f>
        <v>499.8</v>
      </c>
      <c r="T5" s="148"/>
    </row>
    <row r="6" spans="1:20" customFormat="1" ht="21.9" customHeight="1">
      <c r="A6" s="750"/>
      <c r="B6" s="92" t="s">
        <v>310</v>
      </c>
      <c r="C6" s="395" t="s">
        <v>78</v>
      </c>
      <c r="D6" s="399"/>
      <c r="E6" s="400">
        <v>16.010000000000002</v>
      </c>
      <c r="F6" s="401">
        <v>40</v>
      </c>
      <c r="G6" s="181">
        <f t="shared" si="0"/>
        <v>2746.8</v>
      </c>
      <c r="H6" s="369">
        <f t="shared" si="1"/>
        <v>2848.65</v>
      </c>
      <c r="I6" s="182">
        <v>2746.8</v>
      </c>
      <c r="J6" s="182">
        <v>2848.65</v>
      </c>
      <c r="K6" s="424">
        <f>IF(I6&gt;0,ROUND(((G6+$S7+($S$33*$P7))/2.5),0),"-")</f>
        <v>1386</v>
      </c>
      <c r="L6" s="425">
        <f>IF(J6&gt;0,ROUND(((H6+$S20+($S$33*$P20))/2.5),0),"-")</f>
        <v>1517</v>
      </c>
      <c r="M6" s="750"/>
      <c r="N6" s="750"/>
      <c r="O6" s="92">
        <f>'Эл-ты панельных ограждений - 1'!D8</f>
        <v>1.5</v>
      </c>
      <c r="P6" s="11">
        <f>'Эл-ты панельных ограждений - 1'!F8</f>
        <v>2</v>
      </c>
      <c r="Q6" s="14">
        <f>'Эл-ты панельных ограждений - 1'!G8</f>
        <v>4.0649999999999995</v>
      </c>
      <c r="R6" s="752"/>
      <c r="S6" s="141">
        <f>'Эл-ты панельных ограждений - 1'!I8</f>
        <v>532.35</v>
      </c>
    </row>
    <row r="7" spans="1:20" customFormat="1" ht="21.9" customHeight="1">
      <c r="A7" s="750"/>
      <c r="B7" s="92" t="s">
        <v>311</v>
      </c>
      <c r="C7" s="395" t="s">
        <v>78</v>
      </c>
      <c r="D7" s="399"/>
      <c r="E7" s="400">
        <v>18.46</v>
      </c>
      <c r="F7" s="401">
        <v>40</v>
      </c>
      <c r="G7" s="181">
        <f t="shared" si="0"/>
        <v>2816.1</v>
      </c>
      <c r="H7" s="369">
        <f t="shared" si="1"/>
        <v>2932.65</v>
      </c>
      <c r="I7" s="182">
        <v>2816.1</v>
      </c>
      <c r="J7" s="182">
        <v>2932.65</v>
      </c>
      <c r="K7" s="424">
        <f>IF(I7&gt;0,ROUND(((G7+$S8+($S$33*$P8))/2.5),0),"-")</f>
        <v>1430</v>
      </c>
      <c r="L7" s="425">
        <f>IF(J7&gt;0,ROUND(((H7+$S21+($S$33*$P21))/2.5),0),"-")</f>
        <v>1588</v>
      </c>
      <c r="M7" s="750"/>
      <c r="N7" s="750"/>
      <c r="O7" s="92">
        <f>'Эл-ты панельных ограждений - 1'!D9</f>
        <v>1.7</v>
      </c>
      <c r="P7" s="11">
        <f>'Эл-ты панельных ограждений - 1'!F9</f>
        <v>2</v>
      </c>
      <c r="Q7" s="14">
        <f>'Эл-ты панельных ограждений - 1'!G9</f>
        <v>4.6070000000000002</v>
      </c>
      <c r="R7" s="752"/>
      <c r="S7" s="141">
        <f>'Эл-ты панельных ограждений - 1'!I9</f>
        <v>603.75</v>
      </c>
    </row>
    <row r="8" spans="1:20" customFormat="1" ht="21.9" customHeight="1">
      <c r="A8" s="750"/>
      <c r="B8" s="92" t="s">
        <v>334</v>
      </c>
      <c r="C8" s="395" t="s">
        <v>78</v>
      </c>
      <c r="D8" s="399"/>
      <c r="E8" s="400">
        <v>20.9</v>
      </c>
      <c r="F8" s="401">
        <v>40</v>
      </c>
      <c r="G8" s="181">
        <f t="shared" si="0"/>
        <v>3186.75</v>
      </c>
      <c r="H8" s="369">
        <f t="shared" si="1"/>
        <v>3321.15</v>
      </c>
      <c r="I8" s="182">
        <v>3186.75</v>
      </c>
      <c r="J8" s="182">
        <v>3321.15</v>
      </c>
      <c r="K8" s="424">
        <f>IF(I8&gt;0,ROUND(((G8+$S9+($S$33*$P9))/2.5),0),"-")</f>
        <v>1614</v>
      </c>
      <c r="L8" s="425">
        <f>IF(J8&gt;0,ROUND(((H8+$S22+($S$33*$P22))/2.5),0),"-")</f>
        <v>1775</v>
      </c>
      <c r="M8" s="750"/>
      <c r="N8" s="750"/>
      <c r="O8" s="92">
        <f>'Эл-ты панельных ограждений - 1'!D10</f>
        <v>1.9</v>
      </c>
      <c r="P8" s="11">
        <f>'Эл-ты панельных ограждений - 1'!F10</f>
        <v>2</v>
      </c>
      <c r="Q8" s="14">
        <f>'Эл-ты панельных ограждений - 1'!G10</f>
        <v>5.149</v>
      </c>
      <c r="R8" s="752"/>
      <c r="S8" s="141">
        <f>'Эл-ты панельных ограждений - 1'!I10</f>
        <v>645.75</v>
      </c>
    </row>
    <row r="9" spans="1:20" customFormat="1" ht="21.9" customHeight="1">
      <c r="A9" s="750"/>
      <c r="B9" s="278" t="s">
        <v>335</v>
      </c>
      <c r="C9" s="395" t="s">
        <v>78</v>
      </c>
      <c r="D9" s="399"/>
      <c r="E9" s="400">
        <v>23.35</v>
      </c>
      <c r="F9" s="401">
        <v>40</v>
      </c>
      <c r="G9" s="181">
        <f t="shared" si="0"/>
        <v>3560.55</v>
      </c>
      <c r="H9" s="369">
        <f t="shared" si="1"/>
        <v>3710.7</v>
      </c>
      <c r="I9" s="182">
        <v>3560.55</v>
      </c>
      <c r="J9" s="182">
        <v>3710.7000000000003</v>
      </c>
      <c r="K9" s="424">
        <f>IF(I9&gt;0,ROUND(((G9+$S10+($S$33*$P10))/2.5),0),"-")</f>
        <v>1791</v>
      </c>
      <c r="L9" s="425">
        <f>IF(J9&gt;0,ROUND(((H9+$S23+($S$33*$P23))/2.5),0),"-")</f>
        <v>1969</v>
      </c>
      <c r="M9" s="750"/>
      <c r="N9" s="750"/>
      <c r="O9" s="308">
        <f>'Эл-ты панельных ограждений - 1'!D12</f>
        <v>2</v>
      </c>
      <c r="P9" s="11">
        <f>'Эл-ты панельных ограждений - 1'!F12</f>
        <v>3</v>
      </c>
      <c r="Q9" s="14">
        <f>'Эл-ты панельных ограждений - 1'!G12</f>
        <v>5.42</v>
      </c>
      <c r="R9" s="752"/>
      <c r="S9" s="141">
        <f>'Эл-ты панельных ограждений - 1'!I12</f>
        <v>679.35</v>
      </c>
    </row>
    <row r="10" spans="1:20" customFormat="1" ht="21.9" customHeight="1">
      <c r="A10" s="750"/>
      <c r="B10" s="278" t="s">
        <v>322</v>
      </c>
      <c r="C10" s="395" t="s">
        <v>78</v>
      </c>
      <c r="D10" s="399" t="s">
        <v>520</v>
      </c>
      <c r="E10" s="400">
        <v>25.8</v>
      </c>
      <c r="F10" s="401">
        <v>40</v>
      </c>
      <c r="G10" s="181">
        <f t="shared" si="0"/>
        <v>3934.35</v>
      </c>
      <c r="H10" s="369">
        <f t="shared" si="1"/>
        <v>4099.2</v>
      </c>
      <c r="I10" s="182">
        <v>3934.3500000000004</v>
      </c>
      <c r="J10" s="182">
        <v>4099.2</v>
      </c>
      <c r="K10" s="424">
        <f>IF(I10&gt;0,ROUND(((G10+$S12+($S$33*$P12))/2.5),0),"-")</f>
        <v>1991</v>
      </c>
      <c r="L10" s="425">
        <f>IF(J10&gt;0,ROUND(((H10+$S25+($S$33*$P25))/2.5),0),"-")</f>
        <v>2189</v>
      </c>
      <c r="M10" s="750"/>
      <c r="N10" s="750"/>
      <c r="O10" s="92">
        <f>'Эл-ты панельных ограждений - 1'!D13</f>
        <v>2.2000000000000002</v>
      </c>
      <c r="P10" s="11">
        <f>'Эл-ты панельных ограждений - 1'!F13</f>
        <v>3</v>
      </c>
      <c r="Q10" s="14">
        <f>'Эл-ты панельных ограждений - 1'!G13</f>
        <v>5.9620000000000006</v>
      </c>
      <c r="R10" s="752"/>
      <c r="S10" s="141">
        <f>'Эл-ты панельных ограждений - 1'!I13</f>
        <v>747.6</v>
      </c>
    </row>
    <row r="11" spans="1:20" customFormat="1" ht="21.9" customHeight="1">
      <c r="A11" s="750"/>
      <c r="B11" s="278" t="s">
        <v>313</v>
      </c>
      <c r="C11" s="395" t="s">
        <v>78</v>
      </c>
      <c r="D11" s="399"/>
      <c r="E11" s="400">
        <v>28.25</v>
      </c>
      <c r="F11" s="401">
        <v>40</v>
      </c>
      <c r="G11" s="181">
        <f t="shared" si="0"/>
        <v>4307.1000000000004</v>
      </c>
      <c r="H11" s="369">
        <f t="shared" si="1"/>
        <v>4487.7</v>
      </c>
      <c r="I11" s="182">
        <v>4307.1000000000004</v>
      </c>
      <c r="J11" s="182">
        <v>4487.7</v>
      </c>
      <c r="K11" s="424">
        <f>IF(I11&gt;0,ROUND(((G11+$S13+($S$33*$P13))/2.5),0),"-")</f>
        <v>2204</v>
      </c>
      <c r="L11" s="425">
        <f>IF(J11&gt;0,ROUND(((H11+$S26+($S$33*$P26))/2.5),0),"-")</f>
        <v>2436</v>
      </c>
      <c r="M11" s="750"/>
      <c r="N11" s="750"/>
      <c r="O11" s="92">
        <f>'Эл-ты панельных ограждений - 1'!D14</f>
        <v>2.4</v>
      </c>
      <c r="P11" s="11">
        <f>'Эл-ты панельных ограждений - 1'!F14</f>
        <v>3</v>
      </c>
      <c r="Q11" s="14">
        <f>'Эл-ты панельных ограждений - 1'!G14</f>
        <v>6.5039999999999996</v>
      </c>
      <c r="R11" s="752"/>
      <c r="S11" s="141">
        <f>'Эл-ты панельных ограждений - 1'!I14</f>
        <v>811.65</v>
      </c>
    </row>
    <row r="12" spans="1:20" customFormat="1" ht="21.9" customHeight="1">
      <c r="A12" s="750"/>
      <c r="B12" s="278" t="s">
        <v>324</v>
      </c>
      <c r="C12" s="395" t="s">
        <v>78</v>
      </c>
      <c r="D12" s="399" t="s">
        <v>520</v>
      </c>
      <c r="E12" s="400">
        <v>30.69</v>
      </c>
      <c r="F12" s="401">
        <v>40</v>
      </c>
      <c r="G12" s="181">
        <f t="shared" si="0"/>
        <v>4680.8999999999996</v>
      </c>
      <c r="H12" s="369">
        <f t="shared" si="1"/>
        <v>4877.25</v>
      </c>
      <c r="I12" s="182">
        <v>4680.9000000000005</v>
      </c>
      <c r="J12" s="182">
        <v>4877.25</v>
      </c>
      <c r="K12" s="424">
        <f>IF(I12&gt;0,ROUND(((G12+$S13+($S$33*$P13))/2.5),0),"-")</f>
        <v>2354</v>
      </c>
      <c r="L12" s="425">
        <f>IF(J12&gt;0,ROUND(((H12+$S26+($S$33*$P26))/2.5),0),"-")</f>
        <v>2591</v>
      </c>
      <c r="M12" s="750"/>
      <c r="N12" s="750"/>
      <c r="O12" s="92">
        <f>'Эл-ты панельных ограждений - 1'!D16</f>
        <v>2.5</v>
      </c>
      <c r="P12" s="11">
        <f>'Эл-ты панельных ограждений - 1'!F16</f>
        <v>4</v>
      </c>
      <c r="Q12" s="14">
        <f>'Эл-ты панельных ограждений - 1'!G16</f>
        <v>6.7750000000000004</v>
      </c>
      <c r="R12" s="752"/>
      <c r="S12" s="141">
        <f>'Эл-ты панельных ограждений - 1'!I16</f>
        <v>815.85</v>
      </c>
    </row>
    <row r="13" spans="1:20" customFormat="1" ht="21.9" customHeight="1">
      <c r="A13" s="750"/>
      <c r="B13" s="278" t="s">
        <v>314</v>
      </c>
      <c r="C13" s="395" t="s">
        <v>78</v>
      </c>
      <c r="D13" s="399"/>
      <c r="E13" s="400">
        <v>31.83</v>
      </c>
      <c r="F13" s="401">
        <v>40</v>
      </c>
      <c r="G13" s="181">
        <f t="shared" si="0"/>
        <v>4854.1499999999996</v>
      </c>
      <c r="H13" s="369">
        <f t="shared" si="1"/>
        <v>5056.8</v>
      </c>
      <c r="I13" s="182">
        <v>4854.1500000000005</v>
      </c>
      <c r="J13" s="182">
        <v>5056.8</v>
      </c>
      <c r="K13" s="424">
        <f>IF(I13&gt;0,ROUND(((G13+$S15+($S$33*$P15))/2.5),0),"-")</f>
        <v>2833</v>
      </c>
      <c r="L13" s="425">
        <f>IF(J13&gt;0,ROUND(((H13+$S31+($S$33*$P31))/2.5),0),"-")</f>
        <v>3223</v>
      </c>
      <c r="M13" s="750"/>
      <c r="N13" s="750"/>
      <c r="O13" s="92">
        <f>'Эл-ты панельных ограждений - 1'!D18</f>
        <v>3</v>
      </c>
      <c r="P13" s="11">
        <f>'Эл-ты панельных ограждений - 1'!F18</f>
        <v>4</v>
      </c>
      <c r="Q13" s="14">
        <f>'Эл-ты панельных ограждений - 1'!G18</f>
        <v>8.129999999999999</v>
      </c>
      <c r="R13" s="752"/>
      <c r="S13" s="141">
        <f>'Эл-ты панельных ограждений - 1'!I18</f>
        <v>976.5</v>
      </c>
    </row>
    <row r="14" spans="1:20" customFormat="1" ht="21.9" customHeight="1">
      <c r="A14" s="750"/>
      <c r="B14" s="278" t="s">
        <v>315</v>
      </c>
      <c r="C14" s="402" t="s">
        <v>78</v>
      </c>
      <c r="D14" s="403"/>
      <c r="E14" s="395">
        <v>34.18</v>
      </c>
      <c r="F14" s="401">
        <v>40</v>
      </c>
      <c r="G14" s="181">
        <f t="shared" si="0"/>
        <v>5212.2</v>
      </c>
      <c r="H14" s="369">
        <f t="shared" si="1"/>
        <v>5430.6</v>
      </c>
      <c r="I14" s="182">
        <v>5212.2</v>
      </c>
      <c r="J14" s="182">
        <v>5430.6</v>
      </c>
      <c r="K14" s="424">
        <f>IF(I14&gt;0,ROUND(((G14+$S15+($S$33*$P15))/2.5),0),"-")</f>
        <v>2976</v>
      </c>
      <c r="L14" s="425">
        <f>IF(J14&gt;0,ROUND(((H14+$S31+($S$33*$P31))/2.5),0),"-")</f>
        <v>3372</v>
      </c>
      <c r="M14" s="750"/>
      <c r="N14" s="748"/>
      <c r="O14" s="93">
        <f>'Эл-ты панельных ограждений - 1'!D19</f>
        <v>4</v>
      </c>
      <c r="P14" s="16">
        <f>'Эл-ты панельных ограждений - 1'!F19</f>
        <v>6</v>
      </c>
      <c r="Q14" s="15">
        <f>'Эл-ты панельных ограждений - 1'!G19</f>
        <v>10.84</v>
      </c>
      <c r="R14" s="759"/>
      <c r="S14" s="142">
        <f>'Эл-ты панельных ограждений - 1'!I19</f>
        <v>1300.95</v>
      </c>
    </row>
    <row r="15" spans="1:20" customFormat="1" ht="21.9" customHeight="1">
      <c r="A15" s="750"/>
      <c r="B15" s="278" t="s">
        <v>316</v>
      </c>
      <c r="C15" s="402" t="s">
        <v>78</v>
      </c>
      <c r="D15" s="403"/>
      <c r="E15" s="395">
        <v>36.54</v>
      </c>
      <c r="F15" s="401">
        <v>40</v>
      </c>
      <c r="G15" s="181">
        <f t="shared" si="0"/>
        <v>5804.4</v>
      </c>
      <c r="H15" s="369">
        <f t="shared" si="1"/>
        <v>6037.5</v>
      </c>
      <c r="I15" s="182">
        <v>5804.4000000000005</v>
      </c>
      <c r="J15" s="182">
        <v>6037.5</v>
      </c>
      <c r="K15" s="424">
        <f>IF(I15&gt;0,ROUND(((G15+$S15+($S$33*$P15))/2.5),0),"-")</f>
        <v>3213</v>
      </c>
      <c r="L15" s="425">
        <f>IF(J15&gt;0,ROUND(((H15+$S31+($S$33*$P31))/2.5),0),"-")</f>
        <v>3615</v>
      </c>
      <c r="M15" s="750"/>
      <c r="N15" s="747" t="s">
        <v>39</v>
      </c>
      <c r="O15" s="92">
        <f>'Эл-ты панельных ограждений - 1'!D22</f>
        <v>4</v>
      </c>
      <c r="P15" s="94">
        <f>'Эл-ты панельных ограждений - 1'!F22</f>
        <v>6</v>
      </c>
      <c r="Q15" s="14">
        <f>'Эл-ты панельных ограждений - 1'!G22</f>
        <v>15.52</v>
      </c>
      <c r="R15" s="749">
        <f>'Эл-ты панельных ограждений - 1'!H20</f>
        <v>64</v>
      </c>
      <c r="S15" s="141">
        <f>'Эл-ты панельных ограждений - 1'!I22</f>
        <v>1887.9</v>
      </c>
    </row>
    <row r="16" spans="1:20" customFormat="1" ht="21.9" customHeight="1">
      <c r="A16" s="750"/>
      <c r="B16" s="278" t="s">
        <v>336</v>
      </c>
      <c r="C16" s="402" t="s">
        <v>78</v>
      </c>
      <c r="D16" s="403"/>
      <c r="E16" s="395">
        <v>38.89</v>
      </c>
      <c r="F16" s="401">
        <v>40</v>
      </c>
      <c r="G16" s="181">
        <f t="shared" si="0"/>
        <v>6177.15</v>
      </c>
      <c r="H16" s="369">
        <f t="shared" si="1"/>
        <v>6424.95</v>
      </c>
      <c r="I16" s="182">
        <v>6177.1500000000005</v>
      </c>
      <c r="J16" s="182">
        <v>6424.95</v>
      </c>
      <c r="K16" s="424">
        <f>IF(I16&gt;0,ROUND(((G16+$S15+($S$33*$P15))/2.5),0),"-")</f>
        <v>3362</v>
      </c>
      <c r="L16" s="425">
        <f>IF(J16&gt;0,ROUND(((H16+$S31+($S$33*$P31))/2.5),0),"-")</f>
        <v>3770</v>
      </c>
      <c r="M16" s="748"/>
      <c r="N16" s="748"/>
      <c r="O16" s="113">
        <f>'Эл-ты панельных ограждений - 1'!D23</f>
        <v>5</v>
      </c>
      <c r="P16" s="164">
        <f>'Эл-ты панельных ограждений - 1'!F23</f>
        <v>8</v>
      </c>
      <c r="Q16" s="366">
        <f>'Эл-ты панельных ограждений - 1'!G23</f>
        <v>19.399999999999999</v>
      </c>
      <c r="R16" s="749">
        <f>'Эл-ты панельных ограждений - 1'!H23</f>
        <v>0</v>
      </c>
      <c r="S16" s="364">
        <f>'Эл-ты панельных ограждений - 1'!I23</f>
        <v>2359.35</v>
      </c>
    </row>
    <row r="17" spans="1:19" customFormat="1" ht="21.9" customHeight="1">
      <c r="A17" s="748"/>
      <c r="B17" s="275" t="s">
        <v>337</v>
      </c>
      <c r="C17" s="428" t="s">
        <v>78</v>
      </c>
      <c r="D17" s="429"/>
      <c r="E17" s="409">
        <v>41.24</v>
      </c>
      <c r="F17" s="412">
        <v>40</v>
      </c>
      <c r="G17" s="367">
        <f t="shared" si="0"/>
        <v>6552</v>
      </c>
      <c r="H17" s="391">
        <f t="shared" si="1"/>
        <v>6812.4</v>
      </c>
      <c r="I17" s="368">
        <v>6552</v>
      </c>
      <c r="J17" s="368">
        <v>6812.4000000000005</v>
      </c>
      <c r="K17" s="426">
        <f>IF(I17&gt;0,ROUND(((G17+$S16+($S$33*$P16))/2.5),0),"-")</f>
        <v>3746</v>
      </c>
      <c r="L17" s="427">
        <f>IF(J17&gt;0,ROUND(((H17+$S32+($S$33*$P32))/2.5),0),"-")</f>
        <v>3970</v>
      </c>
      <c r="M17" s="747" t="s">
        <v>170</v>
      </c>
      <c r="N17" s="747" t="s">
        <v>63</v>
      </c>
      <c r="O17" s="95">
        <f>'Эл-ты панельных ограждений - 1'!D25</f>
        <v>1.1000000000000001</v>
      </c>
      <c r="P17" s="10">
        <f>'Эл-ты панельных ограждений - 1'!F25</f>
        <v>2</v>
      </c>
      <c r="Q17" s="13">
        <f>'Эл-ты панельных ограждений - 1'!G25</f>
        <v>2.9810000000000003</v>
      </c>
      <c r="R17" s="751">
        <f>'Эл-ты панельных ограждений - 1'!H24</f>
        <v>96</v>
      </c>
      <c r="S17" s="140">
        <f>'Эл-ты панельных ограждений - 1'!I25</f>
        <v>551.25</v>
      </c>
    </row>
    <row r="18" spans="1:19" customFormat="1" ht="21.9" customHeight="1">
      <c r="A18" s="747" t="s">
        <v>341</v>
      </c>
      <c r="B18" s="394" t="s">
        <v>318</v>
      </c>
      <c r="C18" s="404" t="s">
        <v>78</v>
      </c>
      <c r="D18" s="405"/>
      <c r="E18" s="397">
        <v>22.58</v>
      </c>
      <c r="F18" s="398">
        <v>20</v>
      </c>
      <c r="G18" s="183">
        <f t="shared" si="0"/>
        <v>4017.3</v>
      </c>
      <c r="H18" s="370">
        <f t="shared" si="1"/>
        <v>4163.25</v>
      </c>
      <c r="I18" s="184">
        <v>4017.3</v>
      </c>
      <c r="J18" s="184">
        <v>4163.25</v>
      </c>
      <c r="K18" s="422">
        <f>IF(I18&gt;0,ROUND(((G18+S6+($S$33*P6))/2.5),0),"-")</f>
        <v>1865</v>
      </c>
      <c r="L18" s="423">
        <f>IF(I18&gt;0,ROUND(((H18+S19+($S$33*P19))/2.5),0),"-")</f>
        <v>2003</v>
      </c>
      <c r="M18" s="750"/>
      <c r="N18" s="750"/>
      <c r="O18" s="92">
        <f>'Эл-ты панельных ограждений - 1'!D26</f>
        <v>1.3</v>
      </c>
      <c r="P18" s="11">
        <f>'Эл-ты панельных ограждений - 1'!F26</f>
        <v>2</v>
      </c>
      <c r="Q18" s="14">
        <f>'Эл-ты панельных ограждений - 1'!G26</f>
        <v>3.5230000000000001</v>
      </c>
      <c r="R18" s="752"/>
      <c r="S18" s="141">
        <f>'Эл-ты панельных ограждений - 1'!I26</f>
        <v>652.04999999999995</v>
      </c>
    </row>
    <row r="19" spans="1:19" customFormat="1" ht="21.9" customHeight="1">
      <c r="A19" s="750"/>
      <c r="B19" s="92" t="s">
        <v>310</v>
      </c>
      <c r="C19" s="395" t="s">
        <v>78</v>
      </c>
      <c r="D19" s="399"/>
      <c r="E19" s="400">
        <v>26.63</v>
      </c>
      <c r="F19" s="401">
        <v>20</v>
      </c>
      <c r="G19" s="181">
        <f t="shared" si="0"/>
        <v>4739.7</v>
      </c>
      <c r="H19" s="369">
        <f t="shared" si="1"/>
        <v>4906.6499999999996</v>
      </c>
      <c r="I19" s="182">
        <v>4739.7</v>
      </c>
      <c r="J19" s="182">
        <v>4906.6500000000005</v>
      </c>
      <c r="K19" s="424">
        <f>IF(I19&gt;0,ROUND(((G19+S7+($S$33*P7))/2.5),0),"-")</f>
        <v>2183</v>
      </c>
      <c r="L19" s="425">
        <f>IF(I19&gt;0,ROUND(((H19+S20+($S$33*P20))/2.5),0),"-")</f>
        <v>2340</v>
      </c>
      <c r="M19" s="750"/>
      <c r="N19" s="750"/>
      <c r="O19" s="92">
        <f>'Эл-ты панельных ограждений - 1'!D28</f>
        <v>1.5</v>
      </c>
      <c r="P19" s="11">
        <f>'Эл-ты панельных ограждений - 1'!F28</f>
        <v>2</v>
      </c>
      <c r="Q19" s="14">
        <f>'Эл-ты панельных ограждений - 1'!G28</f>
        <v>4.0649999999999995</v>
      </c>
      <c r="R19" s="752"/>
      <c r="S19" s="141">
        <f>'Эл-ты панельных ограждений - 1'!I28</f>
        <v>731.85</v>
      </c>
    </row>
    <row r="20" spans="1:19" customFormat="1" ht="21.9" customHeight="1">
      <c r="A20" s="750"/>
      <c r="B20" s="92" t="s">
        <v>311</v>
      </c>
      <c r="C20" s="395" t="s">
        <v>78</v>
      </c>
      <c r="D20" s="399"/>
      <c r="E20" s="400">
        <v>30.68</v>
      </c>
      <c r="F20" s="401">
        <v>20</v>
      </c>
      <c r="G20" s="181">
        <f t="shared" si="0"/>
        <v>4874.1000000000004</v>
      </c>
      <c r="H20" s="369">
        <f t="shared" si="1"/>
        <v>5069.3999999999996</v>
      </c>
      <c r="I20" s="182">
        <v>4874.1000000000004</v>
      </c>
      <c r="J20" s="182">
        <v>5069.4000000000005</v>
      </c>
      <c r="K20" s="424">
        <f>IF(I20&gt;0,ROUND(((G20+S8+($S$33*P8))/2.5),0),"-")</f>
        <v>2253</v>
      </c>
      <c r="L20" s="425">
        <f>IF(I20&gt;0,ROUND(((H20+S21+($S$33*P21))/2.5),0),"-")</f>
        <v>2443</v>
      </c>
      <c r="M20" s="750"/>
      <c r="N20" s="750"/>
      <c r="O20" s="92">
        <f>'Эл-ты панельных ограждений - 1'!D29</f>
        <v>1.7</v>
      </c>
      <c r="P20" s="11">
        <f>'Эл-ты панельных ограждений - 1'!F29</f>
        <v>2</v>
      </c>
      <c r="Q20" s="14">
        <f>'Эл-ты панельных ограждений - 1'!G29</f>
        <v>4.6070000000000002</v>
      </c>
      <c r="R20" s="752"/>
      <c r="S20" s="141">
        <f>'Эл-ты панельных ограждений - 1'!I29</f>
        <v>829.5</v>
      </c>
    </row>
    <row r="21" spans="1:19" customFormat="1" ht="21.9" customHeight="1">
      <c r="A21" s="750"/>
      <c r="B21" s="92" t="s">
        <v>334</v>
      </c>
      <c r="C21" s="395" t="s">
        <v>78</v>
      </c>
      <c r="D21" s="399"/>
      <c r="E21" s="400">
        <v>34.74</v>
      </c>
      <c r="F21" s="401">
        <v>20</v>
      </c>
      <c r="G21" s="181">
        <f t="shared" si="0"/>
        <v>5518.8</v>
      </c>
      <c r="H21" s="369">
        <f t="shared" si="1"/>
        <v>5740.35</v>
      </c>
      <c r="I21" s="182">
        <v>5518.8</v>
      </c>
      <c r="J21" s="182">
        <v>5740.35</v>
      </c>
      <c r="K21" s="424">
        <f>IF(I21&gt;0,ROUND(((G21+S9+($S$33*P9))/2.5),0),"-")</f>
        <v>2547</v>
      </c>
      <c r="L21" s="425">
        <f>IF(I21&gt;0,ROUND(((H21+S22+($S$33*P22))/2.5),0),"-")</f>
        <v>2742</v>
      </c>
      <c r="M21" s="750"/>
      <c r="N21" s="750"/>
      <c r="O21" s="92">
        <f>'Эл-ты панельных ограждений - 1'!D30</f>
        <v>1.9</v>
      </c>
      <c r="P21" s="11">
        <f>'Эл-ты панельных ограждений - 1'!F30</f>
        <v>2</v>
      </c>
      <c r="Q21" s="14">
        <f>'Эл-ты панельных ограждений - 1'!G30</f>
        <v>5.149</v>
      </c>
      <c r="R21" s="752"/>
      <c r="S21" s="141">
        <f>'Эл-ты панельных ограждений - 1'!I30</f>
        <v>925.05</v>
      </c>
    </row>
    <row r="22" spans="1:19" customFormat="1" ht="21.9" customHeight="1">
      <c r="A22" s="750"/>
      <c r="B22" s="278" t="s">
        <v>335</v>
      </c>
      <c r="C22" s="395" t="s">
        <v>78</v>
      </c>
      <c r="D22" s="399"/>
      <c r="E22" s="400">
        <v>38.79</v>
      </c>
      <c r="F22" s="401">
        <v>20</v>
      </c>
      <c r="G22" s="181">
        <f t="shared" si="0"/>
        <v>6162.45</v>
      </c>
      <c r="H22" s="369">
        <f t="shared" si="1"/>
        <v>6408.15</v>
      </c>
      <c r="I22" s="182">
        <v>6162.45</v>
      </c>
      <c r="J22" s="182">
        <v>6408.1500000000005</v>
      </c>
      <c r="K22" s="424">
        <f>IF(I22&gt;0,ROUND(((G22+S10+($S$33*P10))/2.5),0),"-")</f>
        <v>2832</v>
      </c>
      <c r="L22" s="425">
        <f>IF(I22&gt;0,ROUND(((H22+S23+($S$33*P23))/2.5),0),"-")</f>
        <v>3048</v>
      </c>
      <c r="M22" s="750"/>
      <c r="N22" s="750"/>
      <c r="O22" s="92">
        <f>'Эл-ты панельных ограждений - 1'!D32</f>
        <v>2</v>
      </c>
      <c r="P22" s="11">
        <f>'Эл-ты панельных ограждений - 1'!F32</f>
        <v>3</v>
      </c>
      <c r="Q22" s="14">
        <f>'Эл-ты панельных ограждений - 1'!G32</f>
        <v>5.42</v>
      </c>
      <c r="R22" s="752"/>
      <c r="S22" s="141">
        <f>'Эл-ты панельных ограждений - 1'!I32</f>
        <v>945</v>
      </c>
    </row>
    <row r="23" spans="1:19" customFormat="1" ht="21.9" customHeight="1">
      <c r="A23" s="750"/>
      <c r="B23" s="278" t="s">
        <v>322</v>
      </c>
      <c r="C23" s="395" t="s">
        <v>78</v>
      </c>
      <c r="D23" s="399"/>
      <c r="E23" s="400">
        <v>42.85</v>
      </c>
      <c r="F23" s="401">
        <v>20</v>
      </c>
      <c r="G23" s="181">
        <f t="shared" si="0"/>
        <v>6808.2</v>
      </c>
      <c r="H23" s="369">
        <f t="shared" si="1"/>
        <v>7079.1</v>
      </c>
      <c r="I23" s="182">
        <v>6808.2000000000007</v>
      </c>
      <c r="J23" s="182">
        <v>7079.1</v>
      </c>
      <c r="K23" s="424">
        <f>IF(I23&gt;0,ROUND(((G23+S12+($S$33*P12))/2.5),0),"-")</f>
        <v>3140</v>
      </c>
      <c r="L23" s="425">
        <f>IF(I23&gt;0,ROUND(((H23+S25+($S$33*P25))/2.5),0),"-")</f>
        <v>3381</v>
      </c>
      <c r="M23" s="750"/>
      <c r="N23" s="750"/>
      <c r="O23" s="92">
        <f>'Эл-ты панельных ограждений - 1'!D33</f>
        <v>2.2000000000000002</v>
      </c>
      <c r="P23" s="11">
        <f>'Эл-ты панельных ограждений - 1'!F33</f>
        <v>3</v>
      </c>
      <c r="Q23" s="14">
        <f>'Эл-ты панельных ограждений - 1'!G33</f>
        <v>5.9620000000000006</v>
      </c>
      <c r="R23" s="752"/>
      <c r="S23" s="141">
        <f>'Эл-ты панельных ограждений - 1'!I33</f>
        <v>1041.5999999999999</v>
      </c>
    </row>
    <row r="24" spans="1:19" customFormat="1" ht="21.9" customHeight="1">
      <c r="A24" s="750"/>
      <c r="B24" s="278" t="s">
        <v>313</v>
      </c>
      <c r="C24" s="395" t="s">
        <v>78</v>
      </c>
      <c r="D24" s="399"/>
      <c r="E24" s="400">
        <v>46.9</v>
      </c>
      <c r="F24" s="401">
        <v>20</v>
      </c>
      <c r="G24" s="181">
        <f t="shared" si="0"/>
        <v>7449.75</v>
      </c>
      <c r="H24" s="369">
        <f t="shared" si="1"/>
        <v>7747.95</v>
      </c>
      <c r="I24" s="182">
        <v>7449.75</v>
      </c>
      <c r="J24" s="182">
        <v>7747.9500000000007</v>
      </c>
      <c r="K24" s="424">
        <f>IF(I24&gt;0,ROUND(((G24+S13+($S$33*P13))/2.5),0),"-")</f>
        <v>3461</v>
      </c>
      <c r="L24" s="425">
        <f>IF(I24&gt;0,ROUND(((H24+S26+($S$33*P26))/2.5),0),"-")</f>
        <v>3740</v>
      </c>
      <c r="M24" s="750"/>
      <c r="N24" s="750"/>
      <c r="O24" s="92">
        <f>'Эл-ты панельных ограждений - 1'!D34</f>
        <v>2.4</v>
      </c>
      <c r="P24" s="11">
        <f>'Эл-ты панельных ограждений - 1'!F34</f>
        <v>3</v>
      </c>
      <c r="Q24" s="14">
        <f>'Эл-ты панельных ограждений - 1'!G34</f>
        <v>6.5039999999999996</v>
      </c>
      <c r="R24" s="752"/>
      <c r="S24" s="141">
        <f>'Эл-ты панельных ограждений - 1'!I34</f>
        <v>1100.4000000000001</v>
      </c>
    </row>
    <row r="25" spans="1:19" customFormat="1" ht="21.9" customHeight="1">
      <c r="A25" s="750"/>
      <c r="B25" s="278" t="s">
        <v>324</v>
      </c>
      <c r="C25" s="395" t="s">
        <v>78</v>
      </c>
      <c r="D25" s="399"/>
      <c r="E25" s="400">
        <v>50.96</v>
      </c>
      <c r="F25" s="401">
        <v>20</v>
      </c>
      <c r="G25" s="181">
        <f t="shared" si="0"/>
        <v>8093.4</v>
      </c>
      <c r="H25" s="369">
        <f t="shared" si="1"/>
        <v>8418.9</v>
      </c>
      <c r="I25" s="182">
        <v>8093.4000000000005</v>
      </c>
      <c r="J25" s="182">
        <v>8418.9</v>
      </c>
      <c r="K25" s="424">
        <f>IF(I25&gt;0,ROUND(((G25+S13+($S$33*P13))/2.5),0),"-")</f>
        <v>3719</v>
      </c>
      <c r="L25" s="425">
        <f>IF(I25&gt;0,ROUND(((H25+S26+($S$33*P26))/2.5),0),"-")</f>
        <v>4008</v>
      </c>
      <c r="M25" s="750"/>
      <c r="N25" s="750"/>
      <c r="O25" s="92">
        <f>'Эл-ты панельных ограждений - 1'!D36</f>
        <v>2.5</v>
      </c>
      <c r="P25" s="11">
        <f>'Эл-ты панельных ограждений - 1'!F36</f>
        <v>4</v>
      </c>
      <c r="Q25" s="14">
        <f>'Эл-ты панельных ограждений - 1'!G36</f>
        <v>6.7750000000000004</v>
      </c>
      <c r="R25" s="752"/>
      <c r="S25" s="141">
        <f>'Эл-ты панельных ограждений - 1'!I36</f>
        <v>1145.55</v>
      </c>
    </row>
    <row r="26" spans="1:19" customFormat="1" ht="21.9" customHeight="1">
      <c r="A26" s="750"/>
      <c r="B26" s="278" t="s">
        <v>314</v>
      </c>
      <c r="C26" s="395" t="s">
        <v>78</v>
      </c>
      <c r="D26" s="399"/>
      <c r="E26" s="400">
        <v>52.84</v>
      </c>
      <c r="F26" s="401">
        <v>20</v>
      </c>
      <c r="G26" s="181">
        <f t="shared" si="0"/>
        <v>8393.7000000000007</v>
      </c>
      <c r="H26" s="369">
        <f t="shared" si="1"/>
        <v>8728.65</v>
      </c>
      <c r="I26" s="182">
        <v>8393.7000000000007</v>
      </c>
      <c r="J26" s="182">
        <v>8728.65</v>
      </c>
      <c r="K26" s="424">
        <f>IF(I26&gt;0,ROUND(((G26+S15+($S$33*P15))/2.5),0),"-")</f>
        <v>4249</v>
      </c>
      <c r="L26" s="425">
        <f>IF(I26&gt;0,ROUND(((H26+S26+($S$33*P26))/2.5),0),"-")</f>
        <v>4132</v>
      </c>
      <c r="M26" s="750"/>
      <c r="N26" s="750"/>
      <c r="O26" s="92">
        <f>'Эл-ты панельных ограждений - 1'!D38</f>
        <v>3</v>
      </c>
      <c r="P26" s="11">
        <f>'Эл-ты панельных ограждений - 1'!F38</f>
        <v>4</v>
      </c>
      <c r="Q26" s="14">
        <f>'Эл-ты панельных ограждений - 1'!G38</f>
        <v>8.129999999999999</v>
      </c>
      <c r="R26" s="752"/>
      <c r="S26" s="141">
        <f>'Эл-ты панельных ограждений - 1'!I38</f>
        <v>1374.45</v>
      </c>
    </row>
    <row r="27" spans="1:19" customFormat="1" ht="21.9" customHeight="1">
      <c r="A27" s="750"/>
      <c r="B27" s="278" t="s">
        <v>315</v>
      </c>
      <c r="C27" s="406" t="s">
        <v>78</v>
      </c>
      <c r="D27" s="396"/>
      <c r="E27" s="407">
        <v>56.73</v>
      </c>
      <c r="F27" s="408">
        <v>20</v>
      </c>
      <c r="G27" s="181">
        <f t="shared" si="0"/>
        <v>9011.1</v>
      </c>
      <c r="H27" s="369">
        <f t="shared" si="1"/>
        <v>9372.2999999999993</v>
      </c>
      <c r="I27" s="182">
        <v>9011.1</v>
      </c>
      <c r="J27" s="182">
        <v>9372.3000000000011</v>
      </c>
      <c r="K27" s="424">
        <f>IF(I27&gt;0,ROUND(((G27+S15+($S$33*P15))/2.5),0),"-")</f>
        <v>4496</v>
      </c>
      <c r="L27" s="425">
        <f>IF(I27&gt;0,ROUND(((H27+S31+($S$33*P31))/2.5),0),"-")</f>
        <v>4949</v>
      </c>
      <c r="M27" s="750"/>
      <c r="N27" s="750"/>
      <c r="O27" s="279">
        <f>'Эл-ты панельных ограждений - 1'!D39</f>
        <v>4</v>
      </c>
      <c r="P27" s="165">
        <f>'Эл-ты панельных ограждений - 1'!F39</f>
        <v>6</v>
      </c>
      <c r="Q27" s="166">
        <f>'Эл-ты панельных ограждений - 1'!G39</f>
        <v>10.84</v>
      </c>
      <c r="R27" s="752"/>
      <c r="S27" s="167">
        <f>'Эл-ты панельных ограждений - 1'!I39</f>
        <v>1788.15</v>
      </c>
    </row>
    <row r="28" spans="1:19" customFormat="1" ht="21.9" customHeight="1">
      <c r="A28" s="750"/>
      <c r="B28" s="278" t="s">
        <v>316</v>
      </c>
      <c r="C28" s="395" t="s">
        <v>78</v>
      </c>
      <c r="D28" s="399"/>
      <c r="E28" s="400">
        <v>60.63</v>
      </c>
      <c r="F28" s="401">
        <v>20</v>
      </c>
      <c r="G28" s="181">
        <f t="shared" si="0"/>
        <v>10013.85</v>
      </c>
      <c r="H28" s="369">
        <f t="shared" si="1"/>
        <v>10401.299999999999</v>
      </c>
      <c r="I28" s="182">
        <v>10013.85</v>
      </c>
      <c r="J28" s="182">
        <v>10401.300000000001</v>
      </c>
      <c r="K28" s="424">
        <f>IF(I28&gt;0,ROUND(((G28+S15+($S$33*P15))/2.5),0),"-")</f>
        <v>4897</v>
      </c>
      <c r="L28" s="425">
        <f>IF(I28&gt;0,ROUND(((H28+S31+($S$33*P31))/2.5),0),"-")</f>
        <v>5360</v>
      </c>
      <c r="M28" s="750"/>
      <c r="N28" s="747" t="s">
        <v>206</v>
      </c>
      <c r="O28" s="95" t="e">
        <f>'Эл-ты панельных ограждений - 1'!#REF!</f>
        <v>#REF!</v>
      </c>
      <c r="P28" s="10" t="e">
        <f>'Эл-ты панельных ограждений - 1'!#REF!</f>
        <v>#REF!</v>
      </c>
      <c r="Q28" s="13" t="e">
        <f>'Эл-ты панельных ограждений - 1'!#REF!</f>
        <v>#REF!</v>
      </c>
      <c r="R28" s="753" t="e">
        <f>'Эл-ты панельных ограждений - 1'!#REF!</f>
        <v>#REF!</v>
      </c>
      <c r="S28" s="140" t="e">
        <f>'Эл-ты панельных ограждений - 1'!#REF!</f>
        <v>#REF!</v>
      </c>
    </row>
    <row r="29" spans="1:19" customFormat="1" ht="21.9" customHeight="1">
      <c r="A29" s="750"/>
      <c r="B29" s="278" t="s">
        <v>336</v>
      </c>
      <c r="C29" s="395" t="s">
        <v>78</v>
      </c>
      <c r="D29" s="399"/>
      <c r="E29" s="400">
        <v>64.52</v>
      </c>
      <c r="F29" s="401">
        <v>20</v>
      </c>
      <c r="G29" s="181">
        <f t="shared" si="0"/>
        <v>10657.5</v>
      </c>
      <c r="H29" s="369">
        <f t="shared" si="1"/>
        <v>11069.1</v>
      </c>
      <c r="I29" s="182">
        <v>10657.5</v>
      </c>
      <c r="J29" s="182">
        <v>11069.1</v>
      </c>
      <c r="K29" s="424">
        <f>IF(I29&gt;0,ROUND(((G29+S15+($S$33*P15))/2.5),0),"-")</f>
        <v>5154</v>
      </c>
      <c r="L29" s="425">
        <f>IF(I29&gt;0,ROUND(((H29+S31+($S$33*P31))/2.5),0),"-")</f>
        <v>5628</v>
      </c>
      <c r="M29" s="750"/>
      <c r="N29" s="748"/>
      <c r="O29" s="93" t="e">
        <f>'Эл-ты панельных ограждений - 1'!#REF!</f>
        <v>#REF!</v>
      </c>
      <c r="P29" s="16" t="e">
        <f>'Эл-ты панельных ограждений - 1'!#REF!</f>
        <v>#REF!</v>
      </c>
      <c r="Q29" s="15" t="e">
        <f>'Эл-ты панельных ограждений - 1'!#REF!</f>
        <v>#REF!</v>
      </c>
      <c r="R29" s="754"/>
      <c r="S29" s="142" t="e">
        <f>'Эл-ты панельных ограждений - 1'!#REF!</f>
        <v>#REF!</v>
      </c>
    </row>
    <row r="30" spans="1:19" customFormat="1" ht="21.9" customHeight="1">
      <c r="A30" s="748"/>
      <c r="B30" s="275" t="s">
        <v>337</v>
      </c>
      <c r="C30" s="409" t="s">
        <v>78</v>
      </c>
      <c r="D30" s="410"/>
      <c r="E30" s="411">
        <v>68.42</v>
      </c>
      <c r="F30" s="412">
        <v>20</v>
      </c>
      <c r="G30" s="367">
        <f t="shared" si="0"/>
        <v>11303.25</v>
      </c>
      <c r="H30" s="391">
        <f t="shared" si="1"/>
        <v>11737.95</v>
      </c>
      <c r="I30" s="368">
        <v>11303.25</v>
      </c>
      <c r="J30" s="368">
        <v>11737.95</v>
      </c>
      <c r="K30" s="426">
        <f>IF(I30&gt;0,ROUND(((G30+S16+($S$33*P16))/2.5),0),"-")</f>
        <v>5646</v>
      </c>
      <c r="L30" s="427">
        <f>IF(I30&gt;0,ROUND(((H30+S32+($S$33*P32))/2.5),0),"-")</f>
        <v>5940</v>
      </c>
      <c r="M30" s="750"/>
      <c r="N30" s="375" t="s">
        <v>208</v>
      </c>
      <c r="O30" s="128">
        <f>'Эл-ты панельных ограждений - 1'!D40</f>
        <v>4</v>
      </c>
      <c r="P30" s="129">
        <f>'Эл-ты панельных ограждений - 1'!F40</f>
        <v>6</v>
      </c>
      <c r="Q30" s="130">
        <f>'Эл-ты панельных ограждений - 1'!G40</f>
        <v>19.2</v>
      </c>
      <c r="R30" s="376">
        <f>'Эл-ты панельных ограждений - 1'!H40</f>
        <v>54</v>
      </c>
      <c r="S30" s="168">
        <f>'Эл-ты панельных ограждений - 1'!I40</f>
        <v>3194.1</v>
      </c>
    </row>
    <row r="31" spans="1:19" customFormat="1" ht="45" customHeight="1">
      <c r="A31" s="740" t="s">
        <v>344</v>
      </c>
      <c r="B31" s="740"/>
      <c r="C31" s="740"/>
      <c r="D31" s="740"/>
      <c r="E31" s="740"/>
      <c r="F31" s="740"/>
      <c r="G31" s="740"/>
      <c r="H31" s="740"/>
      <c r="I31" s="740"/>
      <c r="J31" s="740"/>
      <c r="K31" s="740"/>
      <c r="L31" s="740"/>
      <c r="M31" s="775"/>
      <c r="N31" s="747" t="s">
        <v>39</v>
      </c>
      <c r="O31" s="92">
        <f>'Эл-ты панельных ограждений - 1'!D48</f>
        <v>4</v>
      </c>
      <c r="P31" s="11">
        <f>'Эл-ты панельных ограждений - 1'!F48</f>
        <v>6</v>
      </c>
      <c r="Q31" s="14">
        <f>'Эл-ты панельных ограждений - 1'!G48</f>
        <v>15.52</v>
      </c>
      <c r="R31" s="753">
        <f>'Эл-ты панельных ограждений - 1'!H48</f>
        <v>0</v>
      </c>
      <c r="S31" s="141">
        <f>'Эл-ты панельных ограждений - 1'!I48</f>
        <v>2659.65</v>
      </c>
    </row>
    <row r="32" spans="1:19" customFormat="1" ht="21.9" customHeight="1">
      <c r="A32" s="372" t="s">
        <v>327</v>
      </c>
      <c r="B32" s="9"/>
      <c r="C32" s="9"/>
      <c r="D32" s="9"/>
      <c r="E32" s="9"/>
      <c r="F32" s="1"/>
      <c r="G32" s="373"/>
      <c r="H32" s="373"/>
      <c r="I32" s="373"/>
      <c r="J32" s="373"/>
      <c r="K32" s="373"/>
      <c r="L32" s="373"/>
      <c r="M32" s="748"/>
      <c r="N32" s="748"/>
      <c r="O32" s="93">
        <f>'Эл-ты панельных ограждений - 1'!D49</f>
        <v>5</v>
      </c>
      <c r="P32" s="16">
        <f>'Эл-ты панельных ограждений - 1'!F49</f>
        <v>8</v>
      </c>
      <c r="Q32" s="15">
        <f>'Эл-ты панельных ограждений - 1'!G49</f>
        <v>19.399999999999999</v>
      </c>
      <c r="R32" s="754"/>
      <c r="S32" s="142">
        <f>'Эл-ты панельных ограждений - 1'!I48</f>
        <v>2659.65</v>
      </c>
    </row>
    <row r="33" spans="1:19" customFormat="1" ht="21.9" customHeight="1">
      <c r="A33" s="371" t="s">
        <v>326</v>
      </c>
      <c r="B33" s="62"/>
      <c r="C33" s="62"/>
      <c r="D33" s="62"/>
      <c r="E33" s="62"/>
      <c r="F33" s="373"/>
      <c r="G33" s="373"/>
      <c r="H33" s="373"/>
      <c r="I33" s="373"/>
      <c r="J33" s="373"/>
      <c r="K33" s="373"/>
      <c r="L33" s="373"/>
      <c r="M33" s="760" t="s">
        <v>68</v>
      </c>
      <c r="N33" s="761"/>
      <c r="O33" s="762"/>
      <c r="P33" s="769" t="s">
        <v>235</v>
      </c>
      <c r="Q33" s="772">
        <f>'Эл-ты панельных ограждений - 1'!G50</f>
        <v>0.05</v>
      </c>
      <c r="R33" s="751">
        <f>'Эл-ты панельных ограждений - 1'!H50</f>
        <v>100</v>
      </c>
      <c r="S33" s="756">
        <f>'Эл-ты панельных ограждений - 1'!I50</f>
        <v>56.7</v>
      </c>
    </row>
    <row r="34" spans="1:19" customFormat="1" ht="21.9" customHeight="1">
      <c r="A34" s="348" t="s">
        <v>351</v>
      </c>
      <c r="B34" s="62"/>
      <c r="C34" s="62"/>
      <c r="D34" s="62"/>
      <c r="E34" s="62"/>
      <c r="F34" s="373"/>
      <c r="G34" s="373"/>
      <c r="H34" s="373"/>
      <c r="I34" s="373"/>
      <c r="J34" s="373"/>
      <c r="K34" s="373"/>
      <c r="L34" s="373"/>
      <c r="M34" s="763"/>
      <c r="N34" s="764"/>
      <c r="O34" s="765"/>
      <c r="P34" s="770"/>
      <c r="Q34" s="773"/>
      <c r="R34" s="752"/>
      <c r="S34" s="757"/>
    </row>
    <row r="35" spans="1:19" customFormat="1" ht="21.9" customHeight="1">
      <c r="A35" s="348" t="s">
        <v>352</v>
      </c>
      <c r="B35" s="62"/>
      <c r="C35" s="62"/>
      <c r="D35" s="62"/>
      <c r="E35" s="62"/>
      <c r="F35" s="1"/>
      <c r="G35" s="373"/>
      <c r="H35" s="373"/>
      <c r="I35" s="373"/>
      <c r="J35" s="373"/>
      <c r="K35" s="373"/>
      <c r="L35" s="373"/>
      <c r="M35" s="766"/>
      <c r="N35" s="767"/>
      <c r="O35" s="768"/>
      <c r="P35" s="771"/>
      <c r="Q35" s="774"/>
      <c r="R35" s="759"/>
      <c r="S35" s="758"/>
    </row>
    <row r="36" spans="1:19" customFormat="1" ht="21.9" customHeight="1">
      <c r="A36" s="374" t="s">
        <v>353</v>
      </c>
      <c r="B36" s="62"/>
      <c r="C36" s="62"/>
      <c r="D36" s="62"/>
      <c r="E36" s="62"/>
      <c r="F36" s="373"/>
      <c r="G36" s="373"/>
      <c r="H36" s="373"/>
      <c r="I36" s="373"/>
      <c r="J36" s="373"/>
      <c r="K36" s="373"/>
      <c r="L36" s="373"/>
      <c r="M36" s="386"/>
      <c r="N36" s="386"/>
      <c r="O36" s="386"/>
      <c r="P36" s="387"/>
      <c r="Q36" s="388"/>
      <c r="R36" s="389"/>
      <c r="S36" s="390"/>
    </row>
    <row r="37" spans="1:19" customFormat="1" ht="112.5" customHeight="1">
      <c r="A37" s="733" t="s">
        <v>329</v>
      </c>
      <c r="B37" s="733"/>
      <c r="C37" s="733"/>
      <c r="D37" s="2"/>
      <c r="E37" s="733" t="s">
        <v>328</v>
      </c>
      <c r="F37" s="733"/>
      <c r="G37" s="733"/>
      <c r="H37" s="733"/>
      <c r="I37" s="733"/>
      <c r="J37" s="733"/>
      <c r="K37" s="733"/>
      <c r="L37" s="733"/>
      <c r="M37" s="386"/>
      <c r="N37" s="386"/>
      <c r="O37" s="386"/>
      <c r="P37" s="387"/>
      <c r="Q37" s="388"/>
      <c r="R37" s="389"/>
      <c r="S37" s="390"/>
    </row>
    <row r="38" spans="1:19" customFormat="1" ht="46.5" customHeight="1">
      <c r="A38" s="444" t="s">
        <v>169</v>
      </c>
      <c r="B38" s="445"/>
      <c r="C38" s="445"/>
      <c r="D38" s="445"/>
      <c r="E38" s="445"/>
      <c r="F38" s="446"/>
      <c r="G38" s="446"/>
      <c r="H38" s="446"/>
      <c r="I38" s="373"/>
      <c r="J38" s="373"/>
      <c r="K38" s="373"/>
      <c r="L38" s="373"/>
      <c r="M38" s="386"/>
      <c r="N38" s="386"/>
      <c r="O38" s="386"/>
      <c r="P38" s="387"/>
      <c r="Q38" s="388"/>
      <c r="R38" s="389"/>
      <c r="S38" s="390"/>
    </row>
    <row r="39" spans="1:19" customFormat="1" ht="21.9" customHeight="1">
      <c r="A39" s="187" t="s">
        <v>199</v>
      </c>
      <c r="B39" s="161"/>
      <c r="C39" s="161"/>
      <c r="D39" s="161"/>
      <c r="E39" s="161"/>
      <c r="F39" s="161"/>
      <c r="G39" s="161"/>
      <c r="H39" s="161"/>
      <c r="I39" s="34"/>
      <c r="J39" s="34"/>
      <c r="K39" s="34"/>
      <c r="L39" s="1"/>
      <c r="M39" s="386"/>
      <c r="N39" s="386"/>
      <c r="O39" s="386"/>
      <c r="P39" s="387"/>
      <c r="Q39" s="388"/>
      <c r="R39" s="389"/>
      <c r="S39" s="390"/>
    </row>
    <row r="40" spans="1:19" customFormat="1" ht="21.9" customHeight="1">
      <c r="A40" s="187" t="s">
        <v>131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1"/>
      <c r="M40" s="386"/>
      <c r="N40" s="386"/>
      <c r="O40" s="386"/>
      <c r="P40" s="387"/>
      <c r="Q40" s="388"/>
      <c r="R40" s="389"/>
      <c r="S40" s="390"/>
    </row>
    <row r="41" spans="1:19" customFormat="1" ht="21.9" customHeight="1">
      <c r="A41" s="187" t="s">
        <v>16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1"/>
      <c r="M41" s="386"/>
      <c r="N41" s="386"/>
      <c r="O41" s="386"/>
      <c r="P41" s="387"/>
      <c r="Q41" s="388"/>
      <c r="R41" s="389"/>
      <c r="S41" s="390"/>
    </row>
    <row r="42" spans="1:19" customFormat="1" ht="21.9" customHeight="1">
      <c r="A42" s="188" t="s">
        <v>17</v>
      </c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"/>
      <c r="M42" s="386"/>
      <c r="N42" s="386"/>
      <c r="O42" s="386"/>
      <c r="P42" s="387"/>
      <c r="Q42" s="388"/>
      <c r="R42" s="389"/>
      <c r="S42" s="390"/>
    </row>
    <row r="43" spans="1:19" customFormat="1" ht="21.9" customHeight="1">
      <c r="A43" s="187" t="s">
        <v>1</v>
      </c>
      <c r="B43" s="187"/>
      <c r="C43" s="187"/>
      <c r="D43" s="187"/>
      <c r="E43" s="187"/>
      <c r="F43" s="187"/>
      <c r="G43" s="187"/>
      <c r="H43" s="187"/>
      <c r="I43" s="187"/>
      <c r="J43" s="187"/>
      <c r="K43" s="9"/>
      <c r="L43" s="1"/>
      <c r="M43" s="386"/>
      <c r="N43" s="386"/>
      <c r="O43" s="386"/>
      <c r="P43" s="387"/>
      <c r="Q43" s="388"/>
      <c r="R43" s="389"/>
      <c r="S43" s="390"/>
    </row>
    <row r="44" spans="1:19" customFormat="1" ht="21.9" customHeight="1">
      <c r="A44" s="187" t="s">
        <v>2</v>
      </c>
      <c r="B44" s="187"/>
      <c r="C44" s="187"/>
      <c r="D44" s="187"/>
      <c r="E44" s="187"/>
      <c r="F44" s="187"/>
      <c r="G44" s="187"/>
      <c r="H44" s="187"/>
      <c r="I44" s="187"/>
      <c r="J44" s="187"/>
      <c r="K44" s="9"/>
      <c r="L44" s="1"/>
      <c r="M44" s="386"/>
      <c r="N44" s="386"/>
      <c r="O44" s="386"/>
      <c r="P44" s="387"/>
      <c r="Q44" s="388"/>
      <c r="R44" s="389"/>
      <c r="S44" s="390"/>
    </row>
    <row r="45" spans="1:19" customFormat="1" ht="21.9" customHeight="1">
      <c r="A45" s="195" t="s">
        <v>18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386"/>
      <c r="N45" s="386"/>
      <c r="O45" s="386"/>
      <c r="P45" s="387"/>
      <c r="Q45" s="388"/>
      <c r="R45" s="389"/>
      <c r="S45" s="390"/>
    </row>
    <row r="46" spans="1:19" customFormat="1" ht="40.5" customHeight="1">
      <c r="A46" s="194" t="s">
        <v>551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1"/>
      <c r="M46" s="386"/>
      <c r="N46" s="386"/>
      <c r="O46" s="386"/>
      <c r="P46" s="387"/>
      <c r="Q46" s="388"/>
      <c r="R46" s="389"/>
      <c r="S46" s="390"/>
    </row>
    <row r="47" spans="1:19" customFormat="1" ht="21.9" customHeight="1">
      <c r="A47" s="194"/>
      <c r="B47" s="9"/>
      <c r="C47" s="9"/>
      <c r="D47" s="9"/>
      <c r="E47" s="9"/>
      <c r="F47" s="9"/>
      <c r="G47" s="9"/>
      <c r="H47" s="9"/>
      <c r="I47" s="9"/>
      <c r="J47" s="9"/>
      <c r="K47" s="9"/>
      <c r="L47" s="1"/>
      <c r="M47" s="386"/>
      <c r="N47" s="386"/>
      <c r="O47" s="386"/>
      <c r="P47" s="387"/>
      <c r="Q47" s="388"/>
      <c r="R47" s="389"/>
      <c r="S47" s="390"/>
    </row>
    <row r="48" spans="1:19" customFormat="1" ht="21.9" customHeight="1">
      <c r="A48" s="372"/>
      <c r="B48" s="9"/>
      <c r="C48" s="9"/>
      <c r="D48" s="9"/>
      <c r="E48" s="9"/>
      <c r="F48" s="1"/>
      <c r="G48" s="373"/>
      <c r="H48" s="373"/>
      <c r="I48" s="373"/>
      <c r="J48" s="373"/>
      <c r="K48" s="373"/>
      <c r="L48" s="373"/>
      <c r="M48" s="386"/>
      <c r="N48" s="386"/>
      <c r="O48" s="386"/>
      <c r="P48" s="387"/>
      <c r="Q48" s="388"/>
      <c r="R48" s="389"/>
      <c r="S48" s="390"/>
    </row>
    <row r="49" spans="1:13" customFormat="1" ht="40.5" customHeight="1">
      <c r="A49" s="143" t="s">
        <v>33</v>
      </c>
      <c r="B49" s="734">
        <v>0</v>
      </c>
      <c r="C49" s="735"/>
      <c r="D49" s="735"/>
      <c r="E49" s="736"/>
      <c r="F49" s="9"/>
      <c r="G49" s="9"/>
      <c r="H49" s="9"/>
      <c r="I49" s="9"/>
      <c r="J49" s="9"/>
      <c r="K49" s="9"/>
      <c r="L49" s="1"/>
    </row>
    <row r="50" spans="1:13" customFormat="1" ht="21.9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1"/>
    </row>
    <row r="51" spans="1:13" customFormat="1" ht="21.9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1"/>
    </row>
    <row r="52" spans="1:13" customFormat="1" ht="40.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1"/>
    </row>
    <row r="53" spans="1:13" customFormat="1" ht="21.9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1"/>
    </row>
    <row r="54" spans="1:13" customFormat="1" ht="21.9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1"/>
    </row>
    <row r="55" spans="1:13" customFormat="1" ht="40.5" customHeight="1">
      <c r="A55" s="5"/>
      <c r="B55" s="4"/>
      <c r="C55" s="4"/>
      <c r="D55" s="4"/>
      <c r="E55" s="4"/>
      <c r="F55" s="4"/>
      <c r="G55" s="4"/>
      <c r="H55" s="4"/>
      <c r="I55" s="4"/>
      <c r="J55" s="4"/>
      <c r="K55" s="4"/>
      <c r="L55" s="1"/>
    </row>
    <row r="56" spans="1:13" customFormat="1" ht="21.9" customHeight="1">
      <c r="A56" s="5"/>
      <c r="B56" s="4"/>
      <c r="C56" s="4"/>
      <c r="D56" s="4"/>
      <c r="E56" s="4"/>
      <c r="F56" s="4"/>
      <c r="G56" s="4"/>
      <c r="H56" s="4"/>
      <c r="I56" s="4"/>
      <c r="J56" s="4"/>
      <c r="K56" s="4"/>
      <c r="L56" s="1"/>
    </row>
    <row r="57" spans="1:13" customFormat="1" ht="21.9" customHeight="1">
      <c r="A57" s="7"/>
      <c r="B57" s="3"/>
      <c r="C57" s="3"/>
      <c r="D57" s="3"/>
      <c r="E57" s="3"/>
      <c r="F57" s="3"/>
      <c r="G57" s="3"/>
      <c r="H57" s="3"/>
      <c r="I57" s="3"/>
      <c r="J57" s="3"/>
      <c r="K57" s="3"/>
      <c r="L57" s="1"/>
    </row>
    <row r="58" spans="1:13" customFormat="1" ht="21.9" customHeight="1">
      <c r="A58" s="7"/>
      <c r="B58" s="3"/>
      <c r="C58" s="3"/>
      <c r="D58" s="3"/>
      <c r="E58" s="3"/>
      <c r="F58" s="3"/>
      <c r="G58" s="3"/>
      <c r="H58" s="3"/>
      <c r="I58" s="3"/>
      <c r="J58" s="3"/>
      <c r="K58" s="3"/>
      <c r="L58" s="1"/>
      <c r="M58" s="103"/>
    </row>
    <row r="59" spans="1:13" customFormat="1" ht="21.9" customHeight="1">
      <c r="A59" s="2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1:13" customFormat="1" ht="21.9" customHeight="1">
      <c r="A60" s="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1:13" customFormat="1" ht="21.9" customHeight="1">
      <c r="A61" s="2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1:13" customFormat="1" ht="21.9" customHeight="1">
      <c r="A62" s="2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1:13" customFormat="1" ht="21.9" customHeight="1">
      <c r="A63" s="2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13" customFormat="1" ht="21.9" customHeight="1">
      <c r="A64" s="2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1:19" customFormat="1" ht="21.9" customHeight="1">
      <c r="A65" s="2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1:19" customFormat="1" ht="21.9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1:19" customFormat="1" ht="21.9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1:19" customFormat="1" ht="21.9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1:19" customFormat="1" ht="24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1:19" customForma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1:19" customForma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customForma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customForma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customForma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customFormat="1" ht="28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82" ht="32.25" customHeight="1"/>
    <row r="83" ht="108.75" customHeight="1"/>
    <row r="90" ht="106.5" customHeight="1"/>
  </sheetData>
  <sheetProtection formatCells="0" formatColumns="0" formatRows="0" insertColumns="0" insertRows="0" insertHyperlinks="0" deleteColumns="0" deleteRows="0" sort="0" autoFilter="0" pivotTables="0"/>
  <mergeCells count="35">
    <mergeCell ref="B49:E49"/>
    <mergeCell ref="S33:S35"/>
    <mergeCell ref="N28:N29"/>
    <mergeCell ref="R28:R29"/>
    <mergeCell ref="N31:N32"/>
    <mergeCell ref="R31:R32"/>
    <mergeCell ref="M33:O35"/>
    <mergeCell ref="P33:P35"/>
    <mergeCell ref="Q33:Q35"/>
    <mergeCell ref="R33:R35"/>
    <mergeCell ref="D2:G2"/>
    <mergeCell ref="A18:A30"/>
    <mergeCell ref="A37:C37"/>
    <mergeCell ref="E37:L37"/>
    <mergeCell ref="A31:L31"/>
    <mergeCell ref="A3:A4"/>
    <mergeCell ref="B3:B4"/>
    <mergeCell ref="C3:C4"/>
    <mergeCell ref="D3:D4"/>
    <mergeCell ref="E3:E4"/>
    <mergeCell ref="L2:M2"/>
    <mergeCell ref="R4:R14"/>
    <mergeCell ref="A5:A17"/>
    <mergeCell ref="I3:J4"/>
    <mergeCell ref="K3:L3"/>
    <mergeCell ref="M3:N3"/>
    <mergeCell ref="M4:M16"/>
    <mergeCell ref="N4:N14"/>
    <mergeCell ref="N15:N16"/>
    <mergeCell ref="R15:R16"/>
    <mergeCell ref="M17:M32"/>
    <mergeCell ref="N17:N27"/>
    <mergeCell ref="R17:R27"/>
    <mergeCell ref="F3:F4"/>
    <mergeCell ref="G3:H3"/>
  </mergeCells>
  <conditionalFormatting sqref="G1:H1 G49:H1048576 G3:H30 H2">
    <cfRule type="cellIs" dxfId="3" priority="5" operator="equal">
      <formula>0</formula>
    </cfRule>
  </conditionalFormatting>
  <conditionalFormatting sqref="A48">
    <cfRule type="cellIs" dxfId="2" priority="4" operator="equal">
      <formula>0</formula>
    </cfRule>
  </conditionalFormatting>
  <conditionalFormatting sqref="A33:A36 G46:H47 G39:H44">
    <cfRule type="cellIs" dxfId="1" priority="2" operator="equal">
      <formula>0</formula>
    </cfRule>
  </conditionalFormatting>
  <conditionalFormatting sqref="A32">
    <cfRule type="cellIs" dxfId="0" priority="1" operator="equal">
      <formula>0</formula>
    </cfRule>
  </conditionalFormatting>
  <printOptions horizontalCentered="1"/>
  <pageMargins left="0" right="0" top="0" bottom="0" header="0" footer="0"/>
  <pageSetup paperSize="9" scale="43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C00000"/>
    <pageSetUpPr fitToPage="1"/>
  </sheetPr>
  <dimension ref="A1:S79"/>
  <sheetViews>
    <sheetView showGridLines="0" topLeftCell="A19" zoomScale="55" zoomScaleNormal="55" zoomScaleSheetLayoutView="25" zoomScalePageLayoutView="40" workbookViewId="0">
      <selection activeCell="Q8" sqref="Q8"/>
    </sheetView>
  </sheetViews>
  <sheetFormatPr defaultColWidth="9.109375" defaultRowHeight="22.8"/>
  <cols>
    <col min="1" max="1" width="38.109375" style="1" customWidth="1"/>
    <col min="2" max="2" width="68.33203125" style="1" customWidth="1"/>
    <col min="3" max="3" width="23.6640625" style="1" customWidth="1"/>
    <col min="4" max="5" width="20.6640625" style="1" customWidth="1"/>
    <col min="6" max="6" width="22.5546875" style="1" customWidth="1"/>
    <col min="7" max="7" width="23.5546875" style="1" customWidth="1"/>
    <col min="8" max="8" width="25.5546875" style="1" customWidth="1"/>
    <col min="9" max="9" width="28.6640625" style="1" customWidth="1"/>
    <col min="10" max="10" width="11.5546875" style="515" hidden="1" customWidth="1"/>
    <col min="11" max="11" width="9.5546875" style="1" customWidth="1"/>
    <col min="12" max="12" width="4.33203125" style="1" customWidth="1"/>
    <col min="13" max="13" width="9.109375" style="1"/>
    <col min="14" max="14" width="11.5546875" style="1" bestFit="1" customWidth="1"/>
    <col min="15" max="18" width="9.109375" style="1"/>
    <col min="19" max="19" width="13.5546875" style="1" customWidth="1"/>
    <col min="20" max="16384" width="9.109375" style="1"/>
  </cols>
  <sheetData>
    <row r="1" spans="1:19" ht="75.75" customHeight="1">
      <c r="C1" s="177"/>
      <c r="D1" s="177"/>
      <c r="E1" s="177"/>
      <c r="F1" s="177"/>
      <c r="G1" s="177"/>
      <c r="H1" s="177"/>
      <c r="I1" s="177"/>
      <c r="J1" s="514"/>
      <c r="K1" s="36"/>
      <c r="L1" s="36"/>
      <c r="M1" s="36"/>
      <c r="N1" s="36"/>
      <c r="O1" s="36"/>
      <c r="P1" s="36"/>
      <c r="Q1" s="36"/>
      <c r="R1" s="36"/>
      <c r="S1" s="36"/>
    </row>
    <row r="2" spans="1:19" ht="33" customHeight="1">
      <c r="C2" s="311" t="s">
        <v>251</v>
      </c>
      <c r="D2" s="297"/>
      <c r="E2" s="297"/>
      <c r="F2" s="297"/>
      <c r="G2" s="297"/>
      <c r="H2" s="356" t="s">
        <v>225</v>
      </c>
      <c r="I2" s="755">
        <v>42989</v>
      </c>
      <c r="J2" s="755"/>
      <c r="K2" s="37"/>
      <c r="L2" s="9"/>
      <c r="M2" s="9"/>
      <c r="N2" s="9"/>
      <c r="O2" s="9"/>
      <c r="P2" s="9"/>
      <c r="Q2" s="9"/>
      <c r="R2" s="9"/>
      <c r="S2" s="9"/>
    </row>
    <row r="3" spans="1:19" ht="63.75" customHeight="1">
      <c r="A3" s="1478" t="s">
        <v>147</v>
      </c>
      <c r="B3" s="1482" t="s">
        <v>136</v>
      </c>
      <c r="C3" s="1483"/>
      <c r="D3" s="1478" t="s">
        <v>161</v>
      </c>
      <c r="E3" s="1484" t="s">
        <v>279</v>
      </c>
      <c r="F3" s="1478" t="s">
        <v>159</v>
      </c>
      <c r="G3" s="1478" t="s">
        <v>60</v>
      </c>
      <c r="H3" s="1485" t="s">
        <v>160</v>
      </c>
      <c r="I3" s="1481" t="s">
        <v>104</v>
      </c>
      <c r="J3" s="512" t="s">
        <v>44</v>
      </c>
      <c r="K3" s="9"/>
      <c r="L3" s="9"/>
      <c r="M3" s="9"/>
      <c r="N3" s="9"/>
      <c r="O3" s="9"/>
      <c r="P3" s="9"/>
      <c r="Q3" s="9"/>
      <c r="R3" s="9"/>
    </row>
    <row r="4" spans="1:19" ht="20.25" customHeight="1">
      <c r="A4" s="769"/>
      <c r="B4" s="783" t="s">
        <v>338</v>
      </c>
      <c r="C4" s="809" t="s">
        <v>28</v>
      </c>
      <c r="D4" s="95">
        <v>1</v>
      </c>
      <c r="E4" s="264"/>
      <c r="F4" s="198" t="s">
        <v>78</v>
      </c>
      <c r="G4" s="105">
        <v>2.71</v>
      </c>
      <c r="H4" s="749">
        <v>96</v>
      </c>
      <c r="I4" s="144">
        <f t="shared" ref="I4:I33" si="0">ROUND(J4*(1-$B$74),2)</f>
        <v>354.9</v>
      </c>
      <c r="J4" s="690">
        <v>354.90000000000003</v>
      </c>
      <c r="K4" s="102"/>
      <c r="L4" s="9"/>
      <c r="M4" s="9"/>
      <c r="N4" s="447"/>
      <c r="O4" s="9"/>
      <c r="P4" s="9"/>
      <c r="Q4" s="9"/>
      <c r="R4" s="9"/>
    </row>
    <row r="5" spans="1:19" ht="20.25" customHeight="1">
      <c r="A5" s="770"/>
      <c r="B5" s="784"/>
      <c r="C5" s="809"/>
      <c r="D5" s="128">
        <v>1.1000000000000001</v>
      </c>
      <c r="E5" s="265"/>
      <c r="F5" s="201">
        <v>2</v>
      </c>
      <c r="G5" s="233">
        <v>2.9810000000000003</v>
      </c>
      <c r="H5" s="749"/>
      <c r="I5" s="145">
        <f t="shared" si="0"/>
        <v>423.15</v>
      </c>
      <c r="J5" s="690">
        <v>423.15000000000003</v>
      </c>
      <c r="K5" s="522"/>
      <c r="L5" s="9"/>
      <c r="M5" s="9"/>
      <c r="N5" s="447"/>
      <c r="O5" s="9"/>
      <c r="P5" s="9"/>
      <c r="Q5" s="9"/>
      <c r="R5" s="9"/>
    </row>
    <row r="6" spans="1:19">
      <c r="A6" s="770"/>
      <c r="B6" s="784"/>
      <c r="C6" s="809"/>
      <c r="D6" s="92">
        <v>1.3</v>
      </c>
      <c r="E6" s="266"/>
      <c r="F6" s="199">
        <v>2</v>
      </c>
      <c r="G6" s="106">
        <v>3.5230000000000001</v>
      </c>
      <c r="H6" s="749"/>
      <c r="I6" s="145">
        <f t="shared" si="0"/>
        <v>499.8</v>
      </c>
      <c r="J6" s="690">
        <v>499.8</v>
      </c>
      <c r="K6" s="522"/>
      <c r="L6" s="9"/>
      <c r="M6" s="9"/>
      <c r="N6" s="447"/>
      <c r="O6" s="9"/>
      <c r="P6" s="9"/>
      <c r="Q6" s="9"/>
      <c r="R6" s="9"/>
    </row>
    <row r="7" spans="1:19">
      <c r="A7" s="770"/>
      <c r="B7" s="784"/>
      <c r="C7" s="809"/>
      <c r="D7" s="92">
        <v>1.5</v>
      </c>
      <c r="E7" s="266"/>
      <c r="F7" s="199" t="s">
        <v>78</v>
      </c>
      <c r="G7" s="106">
        <v>4.0649999999999995</v>
      </c>
      <c r="H7" s="749"/>
      <c r="I7" s="145">
        <f t="shared" si="0"/>
        <v>488.25</v>
      </c>
      <c r="J7" s="690">
        <v>488.25</v>
      </c>
      <c r="K7" s="522"/>
      <c r="L7" s="9"/>
      <c r="M7" s="9"/>
      <c r="N7" s="447"/>
      <c r="O7" s="9"/>
      <c r="P7" s="9"/>
      <c r="Q7" s="9"/>
      <c r="R7" s="9"/>
    </row>
    <row r="8" spans="1:19">
      <c r="A8" s="770"/>
      <c r="B8" s="784"/>
      <c r="C8" s="809"/>
      <c r="D8" s="92">
        <v>1.5</v>
      </c>
      <c r="E8" s="266" t="s">
        <v>524</v>
      </c>
      <c r="F8" s="199">
        <v>2</v>
      </c>
      <c r="G8" s="106">
        <v>4.0649999999999995</v>
      </c>
      <c r="H8" s="749"/>
      <c r="I8" s="145">
        <f t="shared" si="0"/>
        <v>532.35</v>
      </c>
      <c r="J8" s="690">
        <v>532.35</v>
      </c>
      <c r="K8" s="522"/>
      <c r="L8" s="9"/>
      <c r="M8" s="9"/>
      <c r="N8" s="447"/>
      <c r="O8" s="9"/>
      <c r="P8" s="9"/>
      <c r="Q8" s="9"/>
      <c r="R8" s="9"/>
    </row>
    <row r="9" spans="1:19">
      <c r="A9" s="770"/>
      <c r="B9" s="784"/>
      <c r="C9" s="809"/>
      <c r="D9" s="92">
        <v>1.7</v>
      </c>
      <c r="E9" s="266"/>
      <c r="F9" s="199">
        <v>2</v>
      </c>
      <c r="G9" s="106">
        <v>4.6070000000000002</v>
      </c>
      <c r="H9" s="749"/>
      <c r="I9" s="145">
        <f t="shared" si="0"/>
        <v>603.75</v>
      </c>
      <c r="J9" s="690">
        <v>603.75</v>
      </c>
      <c r="K9" s="522"/>
      <c r="L9" s="9"/>
      <c r="M9" s="9"/>
      <c r="N9" s="447"/>
      <c r="O9" s="9"/>
      <c r="P9" s="9"/>
      <c r="Q9" s="9"/>
      <c r="R9" s="9"/>
    </row>
    <row r="10" spans="1:19">
      <c r="A10" s="770"/>
      <c r="B10" s="784"/>
      <c r="C10" s="809"/>
      <c r="D10" s="92">
        <v>1.9</v>
      </c>
      <c r="E10" s="266"/>
      <c r="F10" s="199">
        <v>2</v>
      </c>
      <c r="G10" s="106">
        <v>5.149</v>
      </c>
      <c r="H10" s="749"/>
      <c r="I10" s="145">
        <f t="shared" si="0"/>
        <v>645.75</v>
      </c>
      <c r="J10" s="690">
        <v>645.75</v>
      </c>
      <c r="K10" s="522"/>
      <c r="L10" s="9"/>
      <c r="M10" s="9"/>
      <c r="N10" s="447"/>
      <c r="O10" s="9"/>
      <c r="P10" s="9"/>
      <c r="Q10" s="9"/>
      <c r="R10" s="9"/>
    </row>
    <row r="11" spans="1:19">
      <c r="A11" s="770"/>
      <c r="B11" s="784"/>
      <c r="C11" s="809"/>
      <c r="D11" s="92">
        <v>2</v>
      </c>
      <c r="E11" s="266"/>
      <c r="F11" s="199" t="s">
        <v>78</v>
      </c>
      <c r="G11" s="106">
        <v>5.42</v>
      </c>
      <c r="H11" s="749"/>
      <c r="I11" s="145">
        <f t="shared" si="0"/>
        <v>591.15</v>
      </c>
      <c r="J11" s="690">
        <v>591.15</v>
      </c>
      <c r="K11" s="522"/>
      <c r="L11" s="9"/>
      <c r="M11" s="9"/>
      <c r="N11" s="447"/>
      <c r="O11" s="9"/>
      <c r="P11" s="9"/>
      <c r="Q11" s="9"/>
      <c r="R11" s="9"/>
    </row>
    <row r="12" spans="1:19">
      <c r="A12" s="770"/>
      <c r="B12" s="784"/>
      <c r="C12" s="809"/>
      <c r="D12" s="92">
        <v>2</v>
      </c>
      <c r="E12" s="266" t="s">
        <v>524</v>
      </c>
      <c r="F12" s="199">
        <v>3</v>
      </c>
      <c r="G12" s="106">
        <v>5.42</v>
      </c>
      <c r="H12" s="749"/>
      <c r="I12" s="145">
        <f t="shared" si="0"/>
        <v>679.35</v>
      </c>
      <c r="J12" s="690">
        <v>679.35</v>
      </c>
      <c r="K12" s="522"/>
      <c r="L12" s="9"/>
      <c r="M12" s="9"/>
      <c r="N12" s="447"/>
      <c r="O12" s="9"/>
      <c r="P12" s="9"/>
      <c r="Q12" s="9"/>
      <c r="R12" s="9"/>
    </row>
    <row r="13" spans="1:19">
      <c r="A13" s="770"/>
      <c r="B13" s="784"/>
      <c r="C13" s="809"/>
      <c r="D13" s="92">
        <v>2.2000000000000002</v>
      </c>
      <c r="E13" s="266" t="s">
        <v>524</v>
      </c>
      <c r="F13" s="199">
        <v>3</v>
      </c>
      <c r="G13" s="106">
        <v>5.9620000000000006</v>
      </c>
      <c r="H13" s="749"/>
      <c r="I13" s="145">
        <f t="shared" si="0"/>
        <v>747.6</v>
      </c>
      <c r="J13" s="690">
        <v>747.6</v>
      </c>
      <c r="K13" s="522"/>
      <c r="L13" s="9"/>
      <c r="M13" s="9"/>
      <c r="N13" s="447"/>
      <c r="O13" s="9"/>
      <c r="P13" s="9"/>
      <c r="Q13" s="9"/>
      <c r="R13" s="9"/>
    </row>
    <row r="14" spans="1:19">
      <c r="A14" s="770"/>
      <c r="B14" s="784"/>
      <c r="C14" s="809"/>
      <c r="D14" s="92">
        <v>2.4</v>
      </c>
      <c r="E14" s="266"/>
      <c r="F14" s="199">
        <v>3</v>
      </c>
      <c r="G14" s="106">
        <v>6.5039999999999996</v>
      </c>
      <c r="H14" s="749"/>
      <c r="I14" s="145">
        <f t="shared" si="0"/>
        <v>811.65</v>
      </c>
      <c r="J14" s="690">
        <v>811.65000000000009</v>
      </c>
      <c r="K14" s="522"/>
      <c r="L14" s="9"/>
      <c r="M14" s="9"/>
      <c r="N14" s="447"/>
      <c r="O14" s="9"/>
      <c r="P14" s="9"/>
      <c r="Q14" s="9"/>
      <c r="R14" s="9"/>
    </row>
    <row r="15" spans="1:19">
      <c r="A15" s="770"/>
      <c r="B15" s="784"/>
      <c r="C15" s="809"/>
      <c r="D15" s="92">
        <v>2.5</v>
      </c>
      <c r="E15" s="266"/>
      <c r="F15" s="199" t="s">
        <v>78</v>
      </c>
      <c r="G15" s="106">
        <v>6.7750000000000004</v>
      </c>
      <c r="H15" s="749"/>
      <c r="I15" s="145">
        <f t="shared" si="0"/>
        <v>703.5</v>
      </c>
      <c r="J15" s="690">
        <v>703.5</v>
      </c>
      <c r="K15" s="522"/>
      <c r="L15" s="9"/>
      <c r="M15" s="9"/>
      <c r="N15" s="447"/>
      <c r="O15" s="9"/>
      <c r="P15" s="9"/>
      <c r="Q15" s="9"/>
      <c r="R15" s="9"/>
    </row>
    <row r="16" spans="1:19">
      <c r="A16" s="770"/>
      <c r="B16" s="784"/>
      <c r="C16" s="809"/>
      <c r="D16" s="92">
        <v>2.5</v>
      </c>
      <c r="E16" s="266" t="s">
        <v>524</v>
      </c>
      <c r="F16" s="199">
        <v>4</v>
      </c>
      <c r="G16" s="106">
        <v>6.7750000000000004</v>
      </c>
      <c r="H16" s="749"/>
      <c r="I16" s="145">
        <f t="shared" si="0"/>
        <v>815.85</v>
      </c>
      <c r="J16" s="690">
        <v>815.85</v>
      </c>
      <c r="K16" s="522"/>
      <c r="L16" s="9"/>
      <c r="M16" s="9"/>
      <c r="N16" s="447"/>
      <c r="O16" s="9"/>
      <c r="P16" s="9"/>
      <c r="Q16" s="9"/>
      <c r="R16" s="9"/>
    </row>
    <row r="17" spans="1:18" ht="23.25" customHeight="1">
      <c r="A17" s="770"/>
      <c r="C17" s="809"/>
      <c r="D17" s="92">
        <v>3</v>
      </c>
      <c r="E17" s="266"/>
      <c r="F17" s="199" t="s">
        <v>78</v>
      </c>
      <c r="G17" s="106">
        <v>8.129999999999999</v>
      </c>
      <c r="H17" s="749"/>
      <c r="I17" s="145">
        <f t="shared" si="0"/>
        <v>844.2</v>
      </c>
      <c r="J17" s="690">
        <v>844.2</v>
      </c>
      <c r="K17" s="522"/>
      <c r="L17" s="9"/>
      <c r="M17" s="9"/>
      <c r="N17" s="447"/>
      <c r="O17" s="9"/>
      <c r="P17" s="9"/>
      <c r="Q17" s="9"/>
      <c r="R17" s="9"/>
    </row>
    <row r="18" spans="1:18">
      <c r="A18" s="770"/>
      <c r="B18" s="785" t="s">
        <v>280</v>
      </c>
      <c r="C18" s="809"/>
      <c r="D18" s="92">
        <v>3</v>
      </c>
      <c r="E18" s="266" t="s">
        <v>524</v>
      </c>
      <c r="F18" s="199">
        <v>4</v>
      </c>
      <c r="G18" s="106">
        <v>8.129999999999999</v>
      </c>
      <c r="H18" s="749"/>
      <c r="I18" s="145">
        <f t="shared" si="0"/>
        <v>976.5</v>
      </c>
      <c r="J18" s="690">
        <v>976.5</v>
      </c>
      <c r="K18" s="522"/>
      <c r="L18" s="9"/>
      <c r="M18" s="9"/>
      <c r="N18" s="447"/>
      <c r="O18" s="9"/>
      <c r="P18" s="9"/>
      <c r="Q18" s="9"/>
      <c r="R18" s="9"/>
    </row>
    <row r="19" spans="1:18">
      <c r="A19" s="770"/>
      <c r="B19" s="785"/>
      <c r="C19" s="809"/>
      <c r="D19" s="93">
        <v>4</v>
      </c>
      <c r="E19" s="267"/>
      <c r="F19" s="200">
        <v>6</v>
      </c>
      <c r="G19" s="107">
        <v>10.84</v>
      </c>
      <c r="H19" s="749"/>
      <c r="I19" s="146">
        <f t="shared" si="0"/>
        <v>1300.95</v>
      </c>
      <c r="J19" s="690">
        <v>1300.95</v>
      </c>
      <c r="K19" s="522"/>
      <c r="L19" s="9"/>
      <c r="M19" s="9"/>
      <c r="N19" s="447"/>
      <c r="O19" s="9"/>
      <c r="P19" s="9"/>
      <c r="Q19" s="9"/>
      <c r="R19" s="9"/>
    </row>
    <row r="20" spans="1:18">
      <c r="A20" s="770"/>
      <c r="B20" s="785"/>
      <c r="C20" s="737" t="s">
        <v>7</v>
      </c>
      <c r="D20" s="95">
        <v>3</v>
      </c>
      <c r="E20" s="264"/>
      <c r="F20" s="198" t="s">
        <v>78</v>
      </c>
      <c r="G20" s="105">
        <v>11.64</v>
      </c>
      <c r="H20" s="753">
        <v>64</v>
      </c>
      <c r="I20" s="235">
        <f t="shared" si="0"/>
        <v>1225.3499999999999</v>
      </c>
      <c r="J20" s="690">
        <v>1225.3500000000001</v>
      </c>
      <c r="K20" s="522"/>
      <c r="L20" s="9"/>
      <c r="M20" s="9"/>
      <c r="N20" s="9"/>
      <c r="O20" s="9"/>
      <c r="P20" s="9"/>
      <c r="Q20" s="9"/>
      <c r="R20" s="9"/>
    </row>
    <row r="21" spans="1:18">
      <c r="A21" s="770"/>
      <c r="B21" s="785"/>
      <c r="C21" s="738"/>
      <c r="D21" s="92">
        <v>4</v>
      </c>
      <c r="E21" s="266"/>
      <c r="F21" s="199" t="s">
        <v>78</v>
      </c>
      <c r="G21" s="106">
        <v>15.52</v>
      </c>
      <c r="H21" s="776"/>
      <c r="I21" s="260">
        <f t="shared" si="0"/>
        <v>1633.8</v>
      </c>
      <c r="J21" s="690">
        <v>1633.8000000000002</v>
      </c>
      <c r="K21" s="522"/>
      <c r="L21" s="9"/>
      <c r="M21" s="9"/>
      <c r="N21" s="9"/>
      <c r="O21" s="9"/>
      <c r="P21" s="9"/>
      <c r="Q21" s="9"/>
      <c r="R21" s="9"/>
    </row>
    <row r="22" spans="1:18">
      <c r="A22" s="770"/>
      <c r="B22" s="785"/>
      <c r="C22" s="738"/>
      <c r="D22" s="92">
        <v>4</v>
      </c>
      <c r="E22" s="266" t="s">
        <v>521</v>
      </c>
      <c r="F22" s="199">
        <v>6</v>
      </c>
      <c r="G22" s="106">
        <v>15.52</v>
      </c>
      <c r="H22" s="776"/>
      <c r="I22" s="260">
        <f t="shared" si="0"/>
        <v>1887.9</v>
      </c>
      <c r="J22" s="690">
        <v>1887.9</v>
      </c>
      <c r="K22" s="522"/>
      <c r="L22" s="9"/>
      <c r="M22" s="9"/>
      <c r="N22" s="9"/>
      <c r="O22" s="9"/>
      <c r="P22" s="9"/>
      <c r="Q22" s="9"/>
      <c r="R22" s="9"/>
    </row>
    <row r="23" spans="1:18">
      <c r="A23" s="770"/>
      <c r="B23" s="786"/>
      <c r="C23" s="739"/>
      <c r="D23" s="275">
        <v>5</v>
      </c>
      <c r="E23" s="268" t="s">
        <v>521</v>
      </c>
      <c r="F23" s="200">
        <v>8</v>
      </c>
      <c r="G23" s="222">
        <v>19.399999999999999</v>
      </c>
      <c r="H23" s="754"/>
      <c r="I23" s="146">
        <f t="shared" si="0"/>
        <v>2359.35</v>
      </c>
      <c r="J23" s="690">
        <v>2359.35</v>
      </c>
      <c r="K23" s="522"/>
      <c r="L23" s="9"/>
      <c r="M23" s="9"/>
      <c r="N23" s="9"/>
      <c r="O23" s="9"/>
      <c r="P23" s="9"/>
      <c r="Q23" s="9"/>
      <c r="R23" s="9"/>
    </row>
    <row r="24" spans="1:18" ht="20.25" customHeight="1">
      <c r="A24" s="770"/>
      <c r="B24" s="783" t="s">
        <v>402</v>
      </c>
      <c r="C24" s="796" t="s">
        <v>28</v>
      </c>
      <c r="D24" s="95">
        <v>1</v>
      </c>
      <c r="E24" s="264" t="s">
        <v>521</v>
      </c>
      <c r="F24" s="198" t="s">
        <v>78</v>
      </c>
      <c r="G24" s="105">
        <v>2.71</v>
      </c>
      <c r="H24" s="751">
        <v>96</v>
      </c>
      <c r="I24" s="144">
        <f t="shared" si="0"/>
        <v>472.5</v>
      </c>
      <c r="J24" s="690">
        <v>472.5</v>
      </c>
      <c r="K24" s="522"/>
      <c r="L24" s="9"/>
      <c r="M24" s="9"/>
      <c r="N24" s="447"/>
      <c r="O24" s="9"/>
      <c r="P24" s="9"/>
      <c r="Q24" s="9"/>
      <c r="R24" s="9"/>
    </row>
    <row r="25" spans="1:18" ht="20.25" customHeight="1">
      <c r="A25" s="770"/>
      <c r="B25" s="784"/>
      <c r="C25" s="797"/>
      <c r="D25" s="128">
        <v>1.1000000000000001</v>
      </c>
      <c r="E25" s="265"/>
      <c r="F25" s="201">
        <v>2</v>
      </c>
      <c r="G25" s="233">
        <v>2.9810000000000003</v>
      </c>
      <c r="H25" s="752"/>
      <c r="I25" s="234">
        <f t="shared" si="0"/>
        <v>551.25</v>
      </c>
      <c r="J25" s="690">
        <v>551.25</v>
      </c>
      <c r="K25" s="522"/>
      <c r="L25" s="9"/>
      <c r="M25" s="9"/>
      <c r="N25" s="447"/>
      <c r="O25" s="9"/>
      <c r="P25" s="9"/>
      <c r="Q25" s="9"/>
      <c r="R25" s="9"/>
    </row>
    <row r="26" spans="1:18">
      <c r="A26" s="770"/>
      <c r="B26" s="784"/>
      <c r="C26" s="798"/>
      <c r="D26" s="92">
        <v>1.3</v>
      </c>
      <c r="E26" s="266"/>
      <c r="F26" s="199">
        <v>2</v>
      </c>
      <c r="G26" s="106">
        <v>3.5230000000000001</v>
      </c>
      <c r="H26" s="752"/>
      <c r="I26" s="145">
        <f t="shared" si="0"/>
        <v>652.04999999999995</v>
      </c>
      <c r="J26" s="690">
        <v>652.05000000000007</v>
      </c>
      <c r="K26" s="522"/>
      <c r="L26" s="9"/>
      <c r="M26" s="9"/>
      <c r="N26" s="447"/>
      <c r="O26" s="9"/>
      <c r="P26" s="9"/>
      <c r="Q26" s="9"/>
      <c r="R26" s="9"/>
    </row>
    <row r="27" spans="1:18">
      <c r="A27" s="770"/>
      <c r="B27" s="784"/>
      <c r="C27" s="798"/>
      <c r="D27" s="92">
        <v>1.5</v>
      </c>
      <c r="E27" s="266"/>
      <c r="F27" s="199" t="s">
        <v>78</v>
      </c>
      <c r="G27" s="106">
        <v>4.0649999999999995</v>
      </c>
      <c r="H27" s="752"/>
      <c r="I27" s="145">
        <f t="shared" si="0"/>
        <v>687.75</v>
      </c>
      <c r="J27" s="690">
        <v>687.75</v>
      </c>
      <c r="K27" s="522"/>
      <c r="L27" s="9"/>
      <c r="M27" s="9"/>
      <c r="N27" s="447"/>
      <c r="O27" s="9"/>
      <c r="P27" s="9"/>
      <c r="Q27" s="9"/>
      <c r="R27" s="9"/>
    </row>
    <row r="28" spans="1:18">
      <c r="A28" s="770"/>
      <c r="B28" s="784"/>
      <c r="C28" s="798"/>
      <c r="D28" s="92">
        <v>1.5</v>
      </c>
      <c r="E28" s="266" t="s">
        <v>521</v>
      </c>
      <c r="F28" s="199">
        <v>2</v>
      </c>
      <c r="G28" s="106">
        <v>4.0649999999999995</v>
      </c>
      <c r="H28" s="752"/>
      <c r="I28" s="145">
        <f t="shared" si="0"/>
        <v>731.85</v>
      </c>
      <c r="J28" s="690">
        <v>731.85</v>
      </c>
      <c r="K28" s="522"/>
      <c r="L28" s="9"/>
      <c r="M28" s="9"/>
      <c r="N28" s="447"/>
      <c r="O28" s="9"/>
      <c r="P28" s="9"/>
      <c r="Q28" s="9"/>
      <c r="R28" s="9"/>
    </row>
    <row r="29" spans="1:18">
      <c r="A29" s="770"/>
      <c r="B29" s="784"/>
      <c r="C29" s="798"/>
      <c r="D29" s="92">
        <v>1.7</v>
      </c>
      <c r="E29" s="266"/>
      <c r="F29" s="199">
        <v>2</v>
      </c>
      <c r="G29" s="106">
        <v>4.6070000000000002</v>
      </c>
      <c r="H29" s="752"/>
      <c r="I29" s="145">
        <f t="shared" si="0"/>
        <v>829.5</v>
      </c>
      <c r="J29" s="690">
        <v>829.5</v>
      </c>
      <c r="K29" s="522"/>
      <c r="L29" s="9"/>
      <c r="M29" s="9"/>
      <c r="N29" s="447"/>
      <c r="O29" s="9"/>
      <c r="P29" s="9"/>
      <c r="Q29" s="9"/>
      <c r="R29" s="9"/>
    </row>
    <row r="30" spans="1:18">
      <c r="A30" s="770"/>
      <c r="B30" s="784"/>
      <c r="C30" s="798"/>
      <c r="D30" s="92">
        <v>1.9</v>
      </c>
      <c r="E30" s="266"/>
      <c r="F30" s="199">
        <v>2</v>
      </c>
      <c r="G30" s="106">
        <v>5.149</v>
      </c>
      <c r="H30" s="752"/>
      <c r="I30" s="145">
        <f t="shared" si="0"/>
        <v>925.05</v>
      </c>
      <c r="J30" s="690">
        <v>925.05000000000007</v>
      </c>
      <c r="K30" s="522"/>
      <c r="L30" s="9"/>
      <c r="M30" s="9"/>
      <c r="N30" s="447"/>
      <c r="O30" s="9"/>
      <c r="P30" s="9"/>
      <c r="Q30" s="9"/>
      <c r="R30" s="9"/>
    </row>
    <row r="31" spans="1:18">
      <c r="A31" s="770"/>
      <c r="B31" s="784"/>
      <c r="C31" s="798"/>
      <c r="D31" s="92">
        <v>2</v>
      </c>
      <c r="E31" s="266" t="s">
        <v>525</v>
      </c>
      <c r="F31" s="199" t="s">
        <v>78</v>
      </c>
      <c r="G31" s="106">
        <v>5.42</v>
      </c>
      <c r="H31" s="752"/>
      <c r="I31" s="145">
        <f t="shared" si="0"/>
        <v>844.2</v>
      </c>
      <c r="J31" s="690">
        <v>844.2</v>
      </c>
      <c r="K31" s="522"/>
      <c r="L31" s="9"/>
      <c r="M31" s="9"/>
      <c r="N31" s="447"/>
      <c r="O31" s="9"/>
      <c r="P31" s="9"/>
      <c r="Q31" s="9"/>
      <c r="R31" s="9"/>
    </row>
    <row r="32" spans="1:18">
      <c r="A32" s="770"/>
      <c r="B32" s="784"/>
      <c r="C32" s="798"/>
      <c r="D32" s="92">
        <v>2</v>
      </c>
      <c r="E32" s="266" t="s">
        <v>526</v>
      </c>
      <c r="F32" s="199">
        <v>3</v>
      </c>
      <c r="G32" s="106">
        <v>5.42</v>
      </c>
      <c r="H32" s="752"/>
      <c r="I32" s="145">
        <f t="shared" si="0"/>
        <v>945</v>
      </c>
      <c r="J32" s="690">
        <v>945</v>
      </c>
      <c r="K32" s="522"/>
      <c r="L32" s="9"/>
      <c r="M32" s="9"/>
      <c r="N32" s="447"/>
      <c r="O32" s="9"/>
      <c r="P32" s="9"/>
      <c r="Q32" s="9"/>
      <c r="R32" s="9"/>
    </row>
    <row r="33" spans="1:18">
      <c r="A33" s="770"/>
      <c r="B33" s="784"/>
      <c r="C33" s="798"/>
      <c r="D33" s="92">
        <v>2.2000000000000002</v>
      </c>
      <c r="E33" s="266" t="s">
        <v>526</v>
      </c>
      <c r="F33" s="199">
        <v>3</v>
      </c>
      <c r="G33" s="106">
        <v>5.9620000000000006</v>
      </c>
      <c r="H33" s="752"/>
      <c r="I33" s="145">
        <f t="shared" si="0"/>
        <v>1041.5999999999999</v>
      </c>
      <c r="J33" s="690">
        <v>1041.6000000000001</v>
      </c>
      <c r="K33" s="522"/>
      <c r="L33" s="9"/>
      <c r="M33" s="9"/>
      <c r="N33" s="447"/>
      <c r="O33" s="9"/>
      <c r="P33" s="9"/>
      <c r="Q33" s="9"/>
      <c r="R33" s="9"/>
    </row>
    <row r="34" spans="1:18">
      <c r="A34" s="770"/>
      <c r="B34" s="784"/>
      <c r="C34" s="798"/>
      <c r="D34" s="92">
        <v>2.4</v>
      </c>
      <c r="E34" s="266"/>
      <c r="F34" s="199">
        <v>3</v>
      </c>
      <c r="G34" s="106">
        <v>6.5039999999999996</v>
      </c>
      <c r="H34" s="752"/>
      <c r="I34" s="145">
        <f t="shared" ref="I34:I60" si="1">ROUND(J34*(1-$B$74),2)</f>
        <v>1100.4000000000001</v>
      </c>
      <c r="J34" s="690">
        <v>1100.4000000000001</v>
      </c>
      <c r="K34" s="522"/>
      <c r="L34" s="9"/>
      <c r="M34" s="9"/>
      <c r="N34" s="447"/>
      <c r="O34" s="9"/>
      <c r="P34" s="9"/>
      <c r="Q34" s="9"/>
      <c r="R34" s="9"/>
    </row>
    <row r="35" spans="1:18">
      <c r="A35" s="770"/>
      <c r="B35" s="784"/>
      <c r="C35" s="798"/>
      <c r="D35" s="92">
        <v>2.5</v>
      </c>
      <c r="E35" s="266" t="s">
        <v>527</v>
      </c>
      <c r="F35" s="199" t="s">
        <v>78</v>
      </c>
      <c r="G35" s="106">
        <v>6.7750000000000004</v>
      </c>
      <c r="H35" s="752"/>
      <c r="I35" s="145">
        <f t="shared" si="1"/>
        <v>1019.55</v>
      </c>
      <c r="J35" s="690">
        <v>1019.5500000000001</v>
      </c>
      <c r="K35" s="522"/>
      <c r="L35" s="9"/>
      <c r="M35" s="9"/>
      <c r="N35" s="447"/>
      <c r="O35" s="9"/>
      <c r="P35" s="9"/>
      <c r="Q35" s="9"/>
      <c r="R35" s="9"/>
    </row>
    <row r="36" spans="1:18">
      <c r="A36" s="770"/>
      <c r="B36" s="784"/>
      <c r="C36" s="798"/>
      <c r="D36" s="92">
        <v>2.5</v>
      </c>
      <c r="E36" s="266" t="s">
        <v>528</v>
      </c>
      <c r="F36" s="199">
        <v>4</v>
      </c>
      <c r="G36" s="106">
        <v>6.7750000000000004</v>
      </c>
      <c r="H36" s="752"/>
      <c r="I36" s="145">
        <f t="shared" si="1"/>
        <v>1145.55</v>
      </c>
      <c r="J36" s="690">
        <v>1145.55</v>
      </c>
      <c r="K36" s="522"/>
      <c r="L36" s="9"/>
      <c r="M36" s="9"/>
      <c r="N36" s="447"/>
      <c r="O36" s="9"/>
      <c r="P36" s="9"/>
      <c r="Q36" s="9"/>
      <c r="R36" s="9"/>
    </row>
    <row r="37" spans="1:18">
      <c r="A37" s="770"/>
      <c r="B37" s="784"/>
      <c r="C37" s="798"/>
      <c r="D37" s="92">
        <v>3</v>
      </c>
      <c r="E37" s="266" t="s">
        <v>528</v>
      </c>
      <c r="F37" s="199" t="s">
        <v>78</v>
      </c>
      <c r="G37" s="106">
        <v>8.129999999999999</v>
      </c>
      <c r="H37" s="752"/>
      <c r="I37" s="145">
        <f t="shared" si="1"/>
        <v>1224.3</v>
      </c>
      <c r="J37" s="690">
        <v>1224.3</v>
      </c>
      <c r="K37" s="522"/>
      <c r="L37" s="9"/>
      <c r="M37" s="9"/>
      <c r="N37" s="447"/>
      <c r="O37" s="9"/>
      <c r="P37" s="9"/>
      <c r="Q37" s="9"/>
      <c r="R37" s="9"/>
    </row>
    <row r="38" spans="1:18">
      <c r="A38" s="770"/>
      <c r="B38" s="784"/>
      <c r="C38" s="798"/>
      <c r="D38" s="92">
        <v>3</v>
      </c>
      <c r="E38" s="266" t="s">
        <v>529</v>
      </c>
      <c r="F38" s="199">
        <v>4</v>
      </c>
      <c r="G38" s="106">
        <v>8.129999999999999</v>
      </c>
      <c r="H38" s="752"/>
      <c r="I38" s="145">
        <f t="shared" si="1"/>
        <v>1374.45</v>
      </c>
      <c r="J38" s="690">
        <v>1374.45</v>
      </c>
      <c r="K38" s="522"/>
      <c r="L38" s="9"/>
      <c r="M38" s="9"/>
      <c r="N38" s="447"/>
      <c r="O38" s="9"/>
      <c r="P38" s="9"/>
      <c r="Q38" s="9"/>
      <c r="R38" s="9"/>
    </row>
    <row r="39" spans="1:18">
      <c r="A39" s="770"/>
      <c r="B39" s="784"/>
      <c r="C39" s="799"/>
      <c r="D39" s="279">
        <v>4</v>
      </c>
      <c r="E39" s="269"/>
      <c r="F39" s="223">
        <v>6</v>
      </c>
      <c r="G39" s="238">
        <v>10.84</v>
      </c>
      <c r="H39" s="752"/>
      <c r="I39" s="240">
        <f t="shared" si="1"/>
        <v>1788.15</v>
      </c>
      <c r="J39" s="690">
        <v>1788.15</v>
      </c>
      <c r="K39" s="522"/>
      <c r="L39" s="9"/>
      <c r="M39" s="9"/>
      <c r="N39" s="447"/>
      <c r="O39" s="9"/>
      <c r="P39" s="9"/>
      <c r="Q39" s="9"/>
      <c r="R39" s="9"/>
    </row>
    <row r="40" spans="1:18">
      <c r="A40" s="770"/>
      <c r="B40" s="785" t="s">
        <v>281</v>
      </c>
      <c r="C40" s="804" t="s">
        <v>42</v>
      </c>
      <c r="D40" s="274">
        <v>4</v>
      </c>
      <c r="E40" s="270"/>
      <c r="F40" s="198">
        <v>6</v>
      </c>
      <c r="G40" s="221">
        <v>19.2</v>
      </c>
      <c r="H40" s="753">
        <v>54</v>
      </c>
      <c r="I40" s="235">
        <f t="shared" si="1"/>
        <v>3194.1</v>
      </c>
      <c r="J40" s="690">
        <v>3194.1</v>
      </c>
      <c r="K40" s="522"/>
      <c r="L40" s="9"/>
      <c r="M40" s="9"/>
      <c r="N40" s="9"/>
      <c r="O40" s="9"/>
      <c r="P40" s="9"/>
      <c r="Q40" s="9"/>
      <c r="R40" s="9"/>
    </row>
    <row r="41" spans="1:18">
      <c r="A41" s="770"/>
      <c r="B41" s="785"/>
      <c r="C41" s="805"/>
      <c r="D41" s="275">
        <v>5</v>
      </c>
      <c r="E41" s="268"/>
      <c r="F41" s="200">
        <v>8</v>
      </c>
      <c r="G41" s="133">
        <v>24</v>
      </c>
      <c r="H41" s="754"/>
      <c r="I41" s="242">
        <f t="shared" si="1"/>
        <v>4077.15</v>
      </c>
      <c r="J41" s="690">
        <v>4077.15</v>
      </c>
      <c r="K41" s="522"/>
      <c r="L41" s="9"/>
      <c r="M41" s="9"/>
      <c r="N41" s="9"/>
      <c r="O41" s="9"/>
      <c r="P41" s="9"/>
      <c r="Q41" s="9"/>
      <c r="R41" s="9"/>
    </row>
    <row r="42" spans="1:18">
      <c r="A42" s="770"/>
      <c r="B42" s="785"/>
      <c r="C42" s="794" t="s">
        <v>41</v>
      </c>
      <c r="D42" s="276">
        <v>4</v>
      </c>
      <c r="E42" s="271"/>
      <c r="F42" s="201">
        <v>6</v>
      </c>
      <c r="G42" s="239">
        <v>28.2</v>
      </c>
      <c r="H42" s="753">
        <v>54</v>
      </c>
      <c r="I42" s="241">
        <f t="shared" si="1"/>
        <v>4774.3500000000004</v>
      </c>
      <c r="J42" s="690">
        <v>4774.3500000000004</v>
      </c>
      <c r="K42" s="522"/>
      <c r="L42" s="9"/>
      <c r="M42" s="9"/>
      <c r="N42" s="9"/>
      <c r="O42" s="9"/>
      <c r="P42" s="9"/>
      <c r="Q42" s="9"/>
      <c r="R42" s="9"/>
    </row>
    <row r="43" spans="1:18">
      <c r="A43" s="770"/>
      <c r="B43" s="785"/>
      <c r="C43" s="795"/>
      <c r="D43" s="277">
        <v>5</v>
      </c>
      <c r="E43" s="272"/>
      <c r="F43" s="223">
        <v>8</v>
      </c>
      <c r="G43" s="236">
        <v>35.25</v>
      </c>
      <c r="H43" s="776"/>
      <c r="I43" s="242">
        <f t="shared" si="1"/>
        <v>6074.25</v>
      </c>
      <c r="J43" s="690">
        <v>6074.25</v>
      </c>
      <c r="K43" s="522"/>
      <c r="L43" s="9"/>
      <c r="M43" s="9"/>
      <c r="N43" s="9"/>
      <c r="O43" s="9"/>
      <c r="P43" s="9"/>
      <c r="Q43" s="9"/>
      <c r="R43" s="9"/>
    </row>
    <row r="44" spans="1:18">
      <c r="A44" s="770"/>
      <c r="B44" s="785"/>
      <c r="C44" s="804" t="s">
        <v>456</v>
      </c>
      <c r="D44" s="274">
        <v>4</v>
      </c>
      <c r="E44" s="270"/>
      <c r="F44" s="198">
        <v>6</v>
      </c>
      <c r="G44" s="221">
        <v>36.9</v>
      </c>
      <c r="H44" s="753">
        <v>54</v>
      </c>
      <c r="I44" s="241">
        <f t="shared" si="1"/>
        <v>5811.75</v>
      </c>
      <c r="J44" s="690">
        <v>5811.75</v>
      </c>
      <c r="K44" s="522"/>
      <c r="L44" s="9"/>
      <c r="M44" s="9"/>
      <c r="N44" s="9"/>
      <c r="O44" s="9"/>
      <c r="P44" s="9"/>
      <c r="Q44" s="9"/>
      <c r="R44" s="9"/>
    </row>
    <row r="45" spans="1:18">
      <c r="A45" s="770"/>
      <c r="B45" s="785"/>
      <c r="C45" s="805"/>
      <c r="D45" s="275">
        <v>5</v>
      </c>
      <c r="E45" s="268"/>
      <c r="F45" s="200">
        <v>8</v>
      </c>
      <c r="G45" s="133">
        <v>46.1</v>
      </c>
      <c r="H45" s="776"/>
      <c r="I45" s="237">
        <f t="shared" si="1"/>
        <v>7260.75</v>
      </c>
      <c r="J45" s="690">
        <v>7260.75</v>
      </c>
      <c r="K45" s="522"/>
      <c r="L45" s="9"/>
      <c r="M45" s="9"/>
      <c r="N45" s="9"/>
      <c r="O45" s="9"/>
      <c r="P45" s="9"/>
      <c r="Q45" s="9"/>
      <c r="R45" s="9"/>
    </row>
    <row r="46" spans="1:18">
      <c r="A46" s="770"/>
      <c r="B46" s="785"/>
      <c r="C46" s="737" t="s">
        <v>7</v>
      </c>
      <c r="D46" s="274">
        <v>3</v>
      </c>
      <c r="E46" s="270"/>
      <c r="F46" s="198" t="s">
        <v>78</v>
      </c>
      <c r="G46" s="221">
        <v>11.64</v>
      </c>
      <c r="H46" s="753">
        <v>64</v>
      </c>
      <c r="I46" s="144">
        <f t="shared" si="1"/>
        <v>1776.6</v>
      </c>
      <c r="J46" s="690">
        <v>1776.6000000000001</v>
      </c>
      <c r="K46" s="522"/>
      <c r="L46" s="9"/>
      <c r="M46" s="9"/>
      <c r="N46" s="9"/>
      <c r="O46" s="9"/>
      <c r="P46" s="9"/>
      <c r="Q46" s="9"/>
      <c r="R46" s="9"/>
    </row>
    <row r="47" spans="1:18">
      <c r="A47" s="770"/>
      <c r="B47" s="785"/>
      <c r="C47" s="738"/>
      <c r="D47" s="278">
        <v>4</v>
      </c>
      <c r="E47" s="273"/>
      <c r="F47" s="199" t="s">
        <v>78</v>
      </c>
      <c r="G47" s="261">
        <v>15.52</v>
      </c>
      <c r="H47" s="776"/>
      <c r="I47" s="145">
        <f t="shared" si="1"/>
        <v>2368.8000000000002</v>
      </c>
      <c r="J47" s="690">
        <v>2368.8000000000002</v>
      </c>
      <c r="K47" s="522"/>
      <c r="L47" s="9"/>
      <c r="M47" s="9"/>
      <c r="N47" s="9"/>
      <c r="O47" s="9"/>
      <c r="P47" s="9"/>
      <c r="Q47" s="9"/>
      <c r="R47" s="9"/>
    </row>
    <row r="48" spans="1:18">
      <c r="A48" s="770"/>
      <c r="B48" s="785"/>
      <c r="C48" s="738"/>
      <c r="D48" s="278">
        <v>4</v>
      </c>
      <c r="E48" s="273" t="s">
        <v>521</v>
      </c>
      <c r="F48" s="199">
        <v>6</v>
      </c>
      <c r="G48" s="261">
        <v>15.52</v>
      </c>
      <c r="H48" s="776"/>
      <c r="I48" s="145">
        <f t="shared" si="1"/>
        <v>2659.65</v>
      </c>
      <c r="J48" s="690">
        <v>2659.65</v>
      </c>
      <c r="K48" s="522"/>
      <c r="L48" s="9"/>
      <c r="M48" s="9"/>
      <c r="N48" s="9"/>
      <c r="O48" s="9"/>
      <c r="P48" s="9"/>
      <c r="Q48" s="9"/>
      <c r="R48" s="9"/>
    </row>
    <row r="49" spans="1:19">
      <c r="A49" s="771"/>
      <c r="B49" s="786"/>
      <c r="C49" s="739"/>
      <c r="D49" s="275">
        <v>5</v>
      </c>
      <c r="E49" s="268" t="s">
        <v>521</v>
      </c>
      <c r="F49" s="200">
        <v>8</v>
      </c>
      <c r="G49" s="133">
        <v>19.399999999999999</v>
      </c>
      <c r="H49" s="754"/>
      <c r="I49" s="146">
        <f t="shared" si="1"/>
        <v>3324.3</v>
      </c>
      <c r="J49" s="690">
        <v>3324.3</v>
      </c>
      <c r="K49" s="522"/>
      <c r="L49" s="9"/>
      <c r="M49" s="9"/>
      <c r="N49" s="9"/>
      <c r="O49" s="9"/>
      <c r="P49" s="9"/>
      <c r="Q49" s="9"/>
      <c r="R49" s="9"/>
    </row>
    <row r="50" spans="1:19" ht="37.5" customHeight="1">
      <c r="A50" s="782"/>
      <c r="B50" s="793" t="s">
        <v>343</v>
      </c>
      <c r="C50" s="793"/>
      <c r="D50" s="806" t="s">
        <v>78</v>
      </c>
      <c r="E50" s="800" t="s">
        <v>132</v>
      </c>
      <c r="F50" s="801"/>
      <c r="G50" s="792">
        <v>0.05</v>
      </c>
      <c r="H50" s="749">
        <v>100</v>
      </c>
      <c r="I50" s="787">
        <f t="shared" si="1"/>
        <v>56.7</v>
      </c>
      <c r="J50" s="690">
        <v>56.7</v>
      </c>
      <c r="K50" s="522"/>
      <c r="L50" s="9"/>
      <c r="M50" s="9"/>
      <c r="N50" s="9"/>
      <c r="O50" s="9"/>
      <c r="P50" s="9"/>
      <c r="Q50" s="9"/>
      <c r="R50" s="9"/>
    </row>
    <row r="51" spans="1:19" ht="37.5" customHeight="1">
      <c r="A51" s="782"/>
      <c r="B51" s="793"/>
      <c r="C51" s="793"/>
      <c r="D51" s="806"/>
      <c r="E51" s="802"/>
      <c r="F51" s="803"/>
      <c r="G51" s="792"/>
      <c r="H51" s="749"/>
      <c r="I51" s="788">
        <f t="shared" si="1"/>
        <v>0</v>
      </c>
      <c r="J51" s="690">
        <v>0</v>
      </c>
      <c r="K51" s="522"/>
      <c r="L51" s="9"/>
      <c r="M51" s="9"/>
      <c r="N51" s="9"/>
      <c r="O51" s="9"/>
      <c r="P51" s="9"/>
      <c r="Q51" s="9"/>
      <c r="R51" s="9"/>
    </row>
    <row r="52" spans="1:19" ht="75" customHeight="1">
      <c r="A52" s="379"/>
      <c r="B52" s="381" t="s">
        <v>342</v>
      </c>
      <c r="C52" s="382"/>
      <c r="D52" s="383" t="s">
        <v>78</v>
      </c>
      <c r="E52" s="780" t="s">
        <v>132</v>
      </c>
      <c r="F52" s="781"/>
      <c r="G52" s="384">
        <v>0.05</v>
      </c>
      <c r="H52" s="377">
        <v>100</v>
      </c>
      <c r="I52" s="380">
        <f t="shared" si="1"/>
        <v>56.7</v>
      </c>
      <c r="J52" s="690">
        <v>56.7</v>
      </c>
      <c r="K52" s="522"/>
      <c r="L52" s="9"/>
      <c r="M52" s="9"/>
      <c r="N52" s="9"/>
      <c r="O52" s="9"/>
      <c r="P52" s="9"/>
      <c r="Q52" s="9"/>
      <c r="R52" s="9"/>
    </row>
    <row r="53" spans="1:19" ht="75" customHeight="1">
      <c r="A53" s="118"/>
      <c r="B53" s="790" t="s">
        <v>218</v>
      </c>
      <c r="C53" s="791"/>
      <c r="D53" s="120" t="s">
        <v>78</v>
      </c>
      <c r="E53" s="780" t="s">
        <v>132</v>
      </c>
      <c r="F53" s="781"/>
      <c r="G53" s="122">
        <v>0.08</v>
      </c>
      <c r="H53" s="119">
        <v>100</v>
      </c>
      <c r="I53" s="139">
        <f t="shared" si="1"/>
        <v>98.7</v>
      </c>
      <c r="J53" s="690">
        <v>98.7</v>
      </c>
      <c r="K53" s="522"/>
      <c r="L53" s="9"/>
      <c r="M53" s="9"/>
      <c r="N53" s="9"/>
      <c r="O53" s="9"/>
      <c r="P53" s="9"/>
      <c r="Q53" s="9"/>
      <c r="R53" s="9"/>
    </row>
    <row r="54" spans="1:19" ht="75" customHeight="1">
      <c r="A54" s="501"/>
      <c r="B54" s="790" t="s">
        <v>410</v>
      </c>
      <c r="C54" s="791"/>
      <c r="D54" s="503" t="s">
        <v>78</v>
      </c>
      <c r="E54" s="780" t="s">
        <v>132</v>
      </c>
      <c r="F54" s="781"/>
      <c r="G54" s="505">
        <v>0.08</v>
      </c>
      <c r="H54" s="498" t="s">
        <v>78</v>
      </c>
      <c r="I54" s="502">
        <f t="shared" si="1"/>
        <v>56.7</v>
      </c>
      <c r="J54" s="690">
        <v>56.7</v>
      </c>
      <c r="K54" s="522"/>
      <c r="L54" s="9"/>
      <c r="M54" s="9"/>
      <c r="N54" s="9"/>
      <c r="O54" s="9"/>
      <c r="P54" s="9"/>
      <c r="Q54" s="9"/>
      <c r="R54" s="9"/>
    </row>
    <row r="55" spans="1:19" ht="75" customHeight="1">
      <c r="A55" s="452"/>
      <c r="B55" s="790" t="s">
        <v>360</v>
      </c>
      <c r="C55" s="791"/>
      <c r="D55" s="451" t="s">
        <v>78</v>
      </c>
      <c r="E55" s="780" t="s">
        <v>419</v>
      </c>
      <c r="F55" s="781"/>
      <c r="G55" s="449">
        <v>0.11</v>
      </c>
      <c r="H55" s="448">
        <v>240</v>
      </c>
      <c r="I55" s="450">
        <f t="shared" si="1"/>
        <v>248.85</v>
      </c>
      <c r="J55" s="690">
        <v>248.85000000000002</v>
      </c>
      <c r="K55" s="522"/>
      <c r="L55" s="9"/>
      <c r="M55" s="9"/>
      <c r="N55" s="9"/>
      <c r="O55" s="9"/>
      <c r="P55" s="9"/>
      <c r="Q55" s="9"/>
      <c r="R55" s="9"/>
    </row>
    <row r="56" spans="1:19" ht="75" customHeight="1">
      <c r="A56" s="90"/>
      <c r="B56" s="789" t="s">
        <v>61</v>
      </c>
      <c r="C56" s="789"/>
      <c r="D56" s="17" t="s">
        <v>63</v>
      </c>
      <c r="E56" s="780" t="s">
        <v>132</v>
      </c>
      <c r="F56" s="781"/>
      <c r="G56" s="122">
        <v>0.1</v>
      </c>
      <c r="H56" s="119">
        <v>100</v>
      </c>
      <c r="I56" s="108">
        <f t="shared" si="1"/>
        <v>98.7</v>
      </c>
      <c r="J56" s="690">
        <v>98.7</v>
      </c>
      <c r="K56" s="522"/>
      <c r="L56" s="9"/>
      <c r="M56" s="9"/>
      <c r="N56" s="9"/>
      <c r="O56" s="9"/>
      <c r="P56" s="9"/>
      <c r="Q56" s="9"/>
      <c r="R56" s="9"/>
    </row>
    <row r="57" spans="1:19" ht="75" customHeight="1">
      <c r="A57" s="90"/>
      <c r="B57" s="789" t="s">
        <v>62</v>
      </c>
      <c r="C57" s="789"/>
      <c r="D57" s="443" t="s">
        <v>208</v>
      </c>
      <c r="E57" s="780" t="s">
        <v>132</v>
      </c>
      <c r="F57" s="781"/>
      <c r="G57" s="122">
        <v>0.1</v>
      </c>
      <c r="H57" s="119">
        <v>100</v>
      </c>
      <c r="I57" s="108">
        <f t="shared" si="1"/>
        <v>126</v>
      </c>
      <c r="J57" s="690">
        <v>126</v>
      </c>
      <c r="K57" s="522"/>
      <c r="L57" s="9"/>
      <c r="M57" s="9"/>
      <c r="N57" s="9"/>
      <c r="O57" s="9"/>
      <c r="P57" s="9"/>
      <c r="Q57" s="9"/>
      <c r="R57" s="9"/>
    </row>
    <row r="58" spans="1:19" ht="75" customHeight="1">
      <c r="A58" s="90"/>
      <c r="B58" s="789" t="s">
        <v>246</v>
      </c>
      <c r="C58" s="789"/>
      <c r="D58" s="17" t="s">
        <v>63</v>
      </c>
      <c r="E58" s="780" t="s">
        <v>132</v>
      </c>
      <c r="F58" s="781"/>
      <c r="G58" s="122">
        <v>0.1</v>
      </c>
      <c r="H58" s="119">
        <v>100</v>
      </c>
      <c r="I58" s="127">
        <f t="shared" si="1"/>
        <v>98.7</v>
      </c>
      <c r="J58" s="690">
        <v>98.7</v>
      </c>
      <c r="K58" s="522"/>
      <c r="L58" s="9"/>
      <c r="M58" s="9"/>
      <c r="N58" s="9"/>
      <c r="O58" s="9"/>
      <c r="P58" s="9"/>
      <c r="Q58" s="9"/>
      <c r="R58" s="9"/>
    </row>
    <row r="59" spans="1:19" ht="75" customHeight="1">
      <c r="A59" s="90"/>
      <c r="B59" s="810" t="s">
        <v>244</v>
      </c>
      <c r="C59" s="811"/>
      <c r="D59" s="17" t="s">
        <v>78</v>
      </c>
      <c r="E59" s="780" t="s">
        <v>34</v>
      </c>
      <c r="F59" s="781"/>
      <c r="G59" s="122"/>
      <c r="H59" s="119">
        <v>100</v>
      </c>
      <c r="I59" s="108">
        <f t="shared" si="1"/>
        <v>25.2</v>
      </c>
      <c r="J59" s="690">
        <v>25.200000000000003</v>
      </c>
      <c r="K59" s="522"/>
      <c r="L59" s="9"/>
      <c r="M59" s="9"/>
      <c r="N59" s="9"/>
      <c r="O59" s="9"/>
      <c r="P59" s="9"/>
      <c r="Q59" s="9"/>
      <c r="R59" s="9"/>
    </row>
    <row r="60" spans="1:19" ht="75" customHeight="1">
      <c r="A60" s="38"/>
      <c r="B60" s="789" t="s">
        <v>133</v>
      </c>
      <c r="C60" s="789"/>
      <c r="D60" s="17" t="s">
        <v>78</v>
      </c>
      <c r="E60" s="780" t="s">
        <v>224</v>
      </c>
      <c r="F60" s="781"/>
      <c r="G60" s="18">
        <v>8.0000000000000002E-3</v>
      </c>
      <c r="H60" s="71">
        <v>1500</v>
      </c>
      <c r="I60" s="108">
        <f t="shared" si="1"/>
        <v>43.05</v>
      </c>
      <c r="J60" s="690">
        <v>43.050000000000004</v>
      </c>
      <c r="K60" s="522"/>
      <c r="L60" s="9"/>
      <c r="M60" s="9"/>
      <c r="N60" s="9"/>
      <c r="O60" s="9"/>
      <c r="P60" s="9"/>
      <c r="Q60" s="9"/>
      <c r="R60" s="9"/>
    </row>
    <row r="61" spans="1:19" ht="45" customHeight="1">
      <c r="A61" s="779" t="s">
        <v>344</v>
      </c>
      <c r="B61" s="779"/>
      <c r="C61" s="779"/>
      <c r="D61" s="779"/>
      <c r="E61" s="779"/>
      <c r="F61" s="779"/>
      <c r="G61" s="779"/>
      <c r="H61" s="779"/>
      <c r="I61" s="779"/>
      <c r="J61" s="516"/>
      <c r="K61" s="102"/>
      <c r="L61" s="9"/>
      <c r="M61" s="9"/>
      <c r="N61" s="9"/>
      <c r="O61" s="9"/>
      <c r="P61" s="9"/>
      <c r="Q61" s="9"/>
      <c r="R61" s="9"/>
      <c r="S61" s="9"/>
    </row>
    <row r="62" spans="1:19" ht="25.5" customHeight="1">
      <c r="A62" s="67" t="s">
        <v>278</v>
      </c>
      <c r="B62" s="62"/>
      <c r="C62" s="62"/>
      <c r="D62" s="62"/>
      <c r="E62" s="62"/>
      <c r="G62" s="777" t="s">
        <v>24</v>
      </c>
      <c r="H62" s="777"/>
      <c r="I62" s="777"/>
      <c r="J62" s="516"/>
      <c r="K62" s="102"/>
      <c r="L62" s="9"/>
      <c r="M62" s="9"/>
      <c r="N62" s="9"/>
      <c r="O62" s="9"/>
      <c r="P62" s="9"/>
      <c r="Q62" s="9"/>
      <c r="R62" s="9"/>
      <c r="S62" s="9"/>
    </row>
    <row r="63" spans="1:19" ht="25.5" customHeight="1">
      <c r="A63" s="67" t="s">
        <v>347</v>
      </c>
      <c r="B63" s="62"/>
      <c r="C63" s="62"/>
      <c r="D63" s="62"/>
      <c r="E63" s="62"/>
      <c r="F63" s="62"/>
      <c r="G63" s="777"/>
      <c r="H63" s="777"/>
      <c r="I63" s="777"/>
      <c r="J63" s="516"/>
      <c r="K63" s="102"/>
      <c r="L63" s="9"/>
      <c r="M63" s="9"/>
      <c r="N63" s="9"/>
      <c r="O63" s="9"/>
      <c r="P63" s="9"/>
      <c r="Q63" s="9"/>
      <c r="R63" s="9"/>
      <c r="S63" s="9"/>
    </row>
    <row r="64" spans="1:19" ht="25.5" customHeight="1">
      <c r="A64" s="67" t="s">
        <v>348</v>
      </c>
      <c r="B64" s="62"/>
      <c r="C64" s="62"/>
      <c r="D64" s="62"/>
      <c r="E64" s="62"/>
      <c r="F64" s="62"/>
      <c r="G64" s="777"/>
      <c r="H64" s="777"/>
      <c r="I64" s="777"/>
      <c r="J64" s="517"/>
      <c r="K64" s="102"/>
      <c r="L64" s="9"/>
      <c r="M64" s="9"/>
      <c r="N64" s="9"/>
      <c r="O64" s="9"/>
      <c r="P64" s="9"/>
      <c r="Q64" s="9"/>
      <c r="R64" s="9"/>
      <c r="S64" s="9"/>
    </row>
    <row r="65" spans="1:19" ht="25.5" customHeight="1">
      <c r="A65" s="67" t="s">
        <v>349</v>
      </c>
      <c r="B65" s="62"/>
      <c r="C65" s="62"/>
      <c r="D65" s="62"/>
      <c r="E65" s="62"/>
      <c r="F65" s="62"/>
      <c r="G65" s="777"/>
      <c r="H65" s="777"/>
      <c r="I65" s="777"/>
      <c r="J65" s="517"/>
      <c r="K65" s="102"/>
      <c r="L65" s="9"/>
      <c r="M65" s="9"/>
      <c r="N65" s="9"/>
      <c r="O65" s="9"/>
      <c r="P65" s="9"/>
      <c r="Q65" s="9"/>
      <c r="R65" s="9"/>
      <c r="S65" s="9"/>
    </row>
    <row r="66" spans="1:19" ht="25.5" customHeight="1">
      <c r="A66" s="67" t="s">
        <v>350</v>
      </c>
      <c r="B66" s="62"/>
      <c r="C66" s="62"/>
      <c r="D66" s="62"/>
      <c r="E66" s="62"/>
      <c r="F66" s="62"/>
      <c r="G66" s="778" t="s">
        <v>25</v>
      </c>
      <c r="H66" s="778"/>
      <c r="I66" s="778"/>
      <c r="J66" s="517"/>
      <c r="K66" s="102"/>
      <c r="L66" s="9"/>
      <c r="M66" s="9"/>
      <c r="N66" s="9"/>
      <c r="O66" s="9"/>
      <c r="P66" s="9"/>
      <c r="Q66" s="9"/>
      <c r="R66" s="9"/>
      <c r="S66" s="9"/>
    </row>
    <row r="67" spans="1:19" ht="25.5" customHeight="1">
      <c r="A67" s="67" t="s">
        <v>551</v>
      </c>
      <c r="B67" s="62"/>
      <c r="C67" s="62"/>
      <c r="D67" s="62"/>
      <c r="E67" s="62"/>
      <c r="F67" s="62"/>
      <c r="G67" s="778"/>
      <c r="H67" s="778"/>
      <c r="I67" s="778"/>
      <c r="J67" s="517"/>
      <c r="K67" s="102"/>
      <c r="L67" s="9"/>
      <c r="M67" s="9"/>
      <c r="N67" s="9"/>
      <c r="O67" s="9"/>
      <c r="P67" s="9"/>
      <c r="Q67" s="9"/>
      <c r="R67" s="9"/>
      <c r="S67" s="9"/>
    </row>
    <row r="68" spans="1:19" ht="32.25" customHeight="1">
      <c r="B68" s="62"/>
      <c r="C68" s="62"/>
      <c r="D68" s="62"/>
      <c r="E68" s="62"/>
      <c r="F68" s="62"/>
      <c r="G68" s="68"/>
      <c r="H68" s="68"/>
      <c r="I68" s="68"/>
      <c r="J68" s="517"/>
      <c r="K68" s="102"/>
      <c r="L68" s="9"/>
      <c r="M68" s="9"/>
      <c r="N68" s="9"/>
      <c r="O68" s="9"/>
      <c r="P68" s="9"/>
      <c r="Q68" s="9"/>
      <c r="R68" s="9"/>
      <c r="S68" s="9"/>
    </row>
    <row r="69" spans="1:19" ht="20.25" customHeight="1">
      <c r="B69" s="126"/>
      <c r="C69" s="126"/>
      <c r="D69" s="126"/>
      <c r="E69" s="250"/>
      <c r="F69" s="126"/>
      <c r="G69" s="126"/>
      <c r="H69" s="126"/>
      <c r="I69" s="126"/>
      <c r="J69" s="517"/>
      <c r="K69" s="102"/>
      <c r="L69" s="9"/>
      <c r="M69" s="9"/>
      <c r="N69" s="9"/>
      <c r="O69" s="9"/>
      <c r="P69" s="9"/>
      <c r="Q69" s="9"/>
      <c r="R69" s="9"/>
      <c r="S69" s="9"/>
    </row>
    <row r="70" spans="1:19" ht="20.25" customHeight="1">
      <c r="A70" s="35"/>
      <c r="B70" s="68"/>
      <c r="C70" s="68"/>
      <c r="D70" s="68"/>
      <c r="E70" s="68"/>
      <c r="F70" s="68"/>
      <c r="G70" s="68"/>
      <c r="H70" s="68"/>
      <c r="I70" s="68"/>
      <c r="J70" s="517"/>
      <c r="K70" s="102"/>
      <c r="L70" s="9"/>
      <c r="M70" s="9"/>
      <c r="N70" s="9"/>
      <c r="O70" s="9"/>
      <c r="P70" s="9"/>
      <c r="Q70" s="9"/>
      <c r="R70" s="9"/>
      <c r="S70" s="9"/>
    </row>
    <row r="71" spans="1:19">
      <c r="B71" s="67"/>
      <c r="C71" s="67"/>
      <c r="D71" s="67"/>
      <c r="E71" s="67"/>
      <c r="G71" s="67"/>
      <c r="H71" s="67"/>
      <c r="I71" s="67"/>
      <c r="J71" s="517"/>
      <c r="K71" s="102"/>
      <c r="L71" s="62"/>
      <c r="M71" s="62"/>
      <c r="N71" s="62"/>
      <c r="O71" s="62"/>
      <c r="P71" s="62"/>
      <c r="Q71" s="62"/>
      <c r="R71" s="9"/>
      <c r="S71" s="9"/>
    </row>
    <row r="72" spans="1:19" ht="20.25" customHeight="1">
      <c r="J72" s="518"/>
      <c r="K72" s="102"/>
      <c r="L72" s="9"/>
      <c r="M72" s="9"/>
      <c r="N72" s="9"/>
      <c r="O72" s="9"/>
      <c r="P72" s="9"/>
      <c r="Q72" s="9"/>
      <c r="R72" s="9"/>
      <c r="S72" s="9"/>
    </row>
    <row r="73" spans="1:19">
      <c r="A73" s="9"/>
      <c r="B73" s="9"/>
      <c r="C73" s="9"/>
      <c r="D73" s="9"/>
      <c r="E73" s="9"/>
      <c r="F73" s="9"/>
      <c r="G73" s="9"/>
      <c r="H73" s="9"/>
      <c r="I73" s="9"/>
      <c r="J73" s="516"/>
      <c r="K73" s="9"/>
      <c r="L73" s="9"/>
      <c r="M73" s="9"/>
      <c r="N73" s="9"/>
      <c r="O73" s="9"/>
      <c r="P73" s="9"/>
      <c r="Q73" s="9"/>
      <c r="R73" s="9"/>
      <c r="S73" s="9"/>
    </row>
    <row r="74" spans="1:19" ht="33">
      <c r="A74" s="123" t="s">
        <v>93</v>
      </c>
      <c r="B74" s="65">
        <v>0</v>
      </c>
      <c r="C74" s="9"/>
      <c r="D74" s="9"/>
      <c r="E74" s="9"/>
      <c r="F74" s="9"/>
      <c r="G74" s="9"/>
      <c r="H74" s="9"/>
      <c r="I74" s="9"/>
      <c r="J74" s="516"/>
      <c r="K74" s="9"/>
      <c r="L74" s="9"/>
      <c r="M74" s="9"/>
      <c r="N74" s="9"/>
      <c r="O74" s="9"/>
      <c r="P74" s="9"/>
      <c r="Q74" s="9"/>
      <c r="R74" s="9"/>
      <c r="S74" s="9"/>
    </row>
    <row r="75" spans="1:19">
      <c r="A75" s="27"/>
      <c r="B75" s="9"/>
      <c r="C75" s="9"/>
      <c r="D75" s="9"/>
      <c r="E75" s="9"/>
      <c r="F75" s="9"/>
      <c r="G75" s="9"/>
      <c r="H75" s="9"/>
      <c r="I75" s="9"/>
      <c r="J75" s="516"/>
      <c r="K75" s="9"/>
      <c r="L75" s="9"/>
      <c r="M75" s="9"/>
      <c r="N75" s="9"/>
      <c r="O75" s="9"/>
      <c r="P75" s="9"/>
      <c r="Q75" s="9"/>
      <c r="R75" s="9"/>
      <c r="S75" s="9"/>
    </row>
    <row r="76" spans="1:19">
      <c r="A76" s="25"/>
      <c r="B76" s="25"/>
      <c r="C76" s="25"/>
      <c r="D76" s="25"/>
      <c r="E76" s="25"/>
      <c r="F76" s="25"/>
      <c r="G76" s="25"/>
      <c r="H76" s="25"/>
      <c r="I76" s="25"/>
      <c r="J76" s="519"/>
      <c r="K76" s="25"/>
      <c r="L76" s="25"/>
      <c r="M76" s="25"/>
      <c r="N76" s="25"/>
      <c r="O76" s="25"/>
      <c r="P76" s="25"/>
      <c r="Q76" s="25"/>
      <c r="R76" s="25"/>
      <c r="S76" s="26"/>
    </row>
    <row r="77" spans="1:19">
      <c r="A77" s="25"/>
      <c r="B77" s="25"/>
      <c r="C77" s="25"/>
      <c r="D77" s="25"/>
      <c r="E77" s="25"/>
      <c r="F77" s="25"/>
      <c r="G77" s="25"/>
      <c r="H77" s="25"/>
      <c r="I77" s="25"/>
      <c r="J77" s="519"/>
      <c r="K77" s="25"/>
      <c r="L77" s="25"/>
      <c r="M77" s="25"/>
      <c r="N77" s="25"/>
      <c r="O77" s="25"/>
      <c r="P77" s="25"/>
      <c r="Q77" s="25"/>
      <c r="R77" s="25"/>
      <c r="S77" s="26"/>
    </row>
    <row r="78" spans="1:19" ht="14.25" customHeight="1">
      <c r="A78" s="25"/>
      <c r="B78" s="25"/>
      <c r="C78" s="25"/>
      <c r="D78" s="25"/>
      <c r="E78" s="25"/>
      <c r="F78" s="25"/>
      <c r="G78" s="25"/>
      <c r="H78" s="25"/>
      <c r="I78" s="25"/>
      <c r="J78" s="519"/>
      <c r="K78" s="25"/>
      <c r="L78" s="25"/>
      <c r="M78" s="25"/>
      <c r="N78" s="25"/>
      <c r="O78" s="25"/>
      <c r="P78" s="25"/>
      <c r="Q78" s="25"/>
      <c r="R78" s="25"/>
      <c r="S78" s="9"/>
    </row>
    <row r="79" spans="1:19">
      <c r="A79" s="9"/>
      <c r="B79" s="9"/>
      <c r="C79" s="9"/>
      <c r="D79" s="9"/>
      <c r="E79" s="9"/>
      <c r="F79" s="9"/>
      <c r="G79" s="9"/>
      <c r="H79" s="9"/>
      <c r="I79" s="9"/>
      <c r="J79" s="516"/>
      <c r="K79" s="9"/>
      <c r="L79" s="9"/>
      <c r="M79" s="9"/>
      <c r="N79" s="9"/>
      <c r="O79" s="9"/>
      <c r="P79" s="9"/>
      <c r="Q79" s="9"/>
      <c r="R79" s="9"/>
      <c r="S79" s="9"/>
    </row>
  </sheetData>
  <mergeCells count="48">
    <mergeCell ref="B3:C3"/>
    <mergeCell ref="C4:C19"/>
    <mergeCell ref="B59:C59"/>
    <mergeCell ref="B58:C58"/>
    <mergeCell ref="B56:C56"/>
    <mergeCell ref="B57:C57"/>
    <mergeCell ref="B55:C55"/>
    <mergeCell ref="B24:B39"/>
    <mergeCell ref="C44:C45"/>
    <mergeCell ref="B53:C53"/>
    <mergeCell ref="H24:H39"/>
    <mergeCell ref="H4:H19"/>
    <mergeCell ref="G50:G51"/>
    <mergeCell ref="B50:C51"/>
    <mergeCell ref="C42:C43"/>
    <mergeCell ref="H20:H23"/>
    <mergeCell ref="C24:C39"/>
    <mergeCell ref="H40:H41"/>
    <mergeCell ref="H42:H43"/>
    <mergeCell ref="H46:H49"/>
    <mergeCell ref="H50:H51"/>
    <mergeCell ref="E50:F51"/>
    <mergeCell ref="C20:C23"/>
    <mergeCell ref="C40:C41"/>
    <mergeCell ref="C46:C49"/>
    <mergeCell ref="D50:D51"/>
    <mergeCell ref="B60:C60"/>
    <mergeCell ref="E59:F59"/>
    <mergeCell ref="E60:F60"/>
    <mergeCell ref="E55:F55"/>
    <mergeCell ref="B54:C54"/>
    <mergeCell ref="E54:F54"/>
    <mergeCell ref="H44:H45"/>
    <mergeCell ref="I2:J2"/>
    <mergeCell ref="G62:I65"/>
    <mergeCell ref="G66:I67"/>
    <mergeCell ref="A61:I61"/>
    <mergeCell ref="E52:F52"/>
    <mergeCell ref="E53:F53"/>
    <mergeCell ref="E56:F56"/>
    <mergeCell ref="E57:F57"/>
    <mergeCell ref="E58:F58"/>
    <mergeCell ref="A50:A51"/>
    <mergeCell ref="B4:B16"/>
    <mergeCell ref="B18:B23"/>
    <mergeCell ref="B40:B49"/>
    <mergeCell ref="A4:A49"/>
    <mergeCell ref="I50:I51"/>
  </mergeCells>
  <phoneticPr fontId="24" type="noConversion"/>
  <printOptions horizontalCentered="1"/>
  <pageMargins left="0" right="0" top="0" bottom="0" header="0" footer="0"/>
  <pageSetup paperSize="9" scale="37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C00000"/>
    <pageSetUpPr fitToPage="1"/>
  </sheetPr>
  <dimension ref="A1:Q62"/>
  <sheetViews>
    <sheetView showGridLines="0" topLeftCell="A22" zoomScale="55" zoomScaleNormal="55" zoomScaleSheetLayoutView="55" zoomScalePageLayoutView="40" workbookViewId="0">
      <selection activeCell="M5" sqref="M5"/>
    </sheetView>
  </sheetViews>
  <sheetFormatPr defaultColWidth="9.109375" defaultRowHeight="22.8"/>
  <cols>
    <col min="1" max="1" width="38.109375" style="1" customWidth="1"/>
    <col min="2" max="2" width="90.88671875" style="1" customWidth="1"/>
    <col min="3" max="3" width="28.6640625" style="1" customWidth="1"/>
    <col min="4" max="4" width="30.6640625" style="1" customWidth="1"/>
    <col min="5" max="5" width="23.5546875" style="1" customWidth="1"/>
    <col min="6" max="7" width="30.6640625" style="1" customWidth="1"/>
    <col min="8" max="8" width="11.5546875" style="147" hidden="1" customWidth="1"/>
    <col min="9" max="9" width="11.109375" style="1" customWidth="1"/>
    <col min="10" max="10" width="4.33203125" style="1" customWidth="1"/>
    <col min="11" max="11" width="11.5546875" style="1" bestFit="1" customWidth="1"/>
    <col min="12" max="12" width="13.44140625" style="1" bestFit="1" customWidth="1"/>
    <col min="13" max="16" width="9.109375" style="1"/>
    <col min="17" max="17" width="13.5546875" style="1" customWidth="1"/>
    <col min="18" max="16384" width="9.109375" style="1"/>
  </cols>
  <sheetData>
    <row r="1" spans="1:17" ht="75.75" customHeight="1">
      <c r="C1" s="177"/>
      <c r="D1" s="177"/>
      <c r="E1" s="177"/>
      <c r="F1" s="177"/>
      <c r="G1" s="177"/>
      <c r="H1" s="149"/>
      <c r="I1" s="36"/>
      <c r="J1" s="36"/>
      <c r="K1" s="36"/>
      <c r="L1" s="36"/>
      <c r="M1" s="36"/>
      <c r="N1" s="36"/>
      <c r="O1" s="36"/>
      <c r="P1" s="36"/>
      <c r="Q1" s="36"/>
    </row>
    <row r="2" spans="1:17" ht="33" customHeight="1">
      <c r="B2" s="828" t="s">
        <v>251</v>
      </c>
      <c r="C2" s="828"/>
      <c r="D2" s="828"/>
      <c r="E2" s="297"/>
      <c r="F2" s="356" t="s">
        <v>225</v>
      </c>
      <c r="G2" s="755">
        <v>42989</v>
      </c>
      <c r="H2" s="755"/>
      <c r="I2" s="37"/>
      <c r="J2" s="9"/>
      <c r="K2" s="9"/>
      <c r="L2" s="9"/>
      <c r="M2" s="9"/>
      <c r="N2" s="9"/>
      <c r="O2" s="9"/>
      <c r="P2" s="9"/>
      <c r="Q2" s="9"/>
    </row>
    <row r="3" spans="1:17" ht="50.25" customHeight="1">
      <c r="A3" s="434" t="s">
        <v>147</v>
      </c>
      <c r="B3" s="807" t="s">
        <v>136</v>
      </c>
      <c r="C3" s="808"/>
      <c r="D3" s="435"/>
      <c r="E3" s="434" t="s">
        <v>60</v>
      </c>
      <c r="F3" s="436" t="s">
        <v>160</v>
      </c>
      <c r="G3" s="437" t="s">
        <v>104</v>
      </c>
      <c r="H3" s="438" t="s">
        <v>44</v>
      </c>
      <c r="I3" s="9"/>
      <c r="J3" s="9"/>
      <c r="K3" s="9"/>
      <c r="L3" s="9"/>
      <c r="M3" s="9"/>
      <c r="N3" s="9"/>
      <c r="O3" s="9"/>
      <c r="P3" s="9"/>
    </row>
    <row r="4" spans="1:17" ht="54" customHeight="1">
      <c r="A4" s="38"/>
      <c r="B4" s="280" t="s">
        <v>210</v>
      </c>
      <c r="C4" s="17">
        <v>0.55000000000000004</v>
      </c>
      <c r="D4" s="499" t="s">
        <v>36</v>
      </c>
      <c r="E4" s="121">
        <v>1.25</v>
      </c>
      <c r="F4" s="508">
        <v>16</v>
      </c>
      <c r="G4" s="511">
        <f>ROUND(H4*(1-$B$57),2)</f>
        <v>683.55</v>
      </c>
      <c r="H4" s="690">
        <v>683.55000000000007</v>
      </c>
      <c r="I4" s="691"/>
      <c r="J4" s="9"/>
      <c r="K4" s="509"/>
      <c r="L4" s="9"/>
      <c r="M4" s="9"/>
      <c r="N4" s="9"/>
      <c r="O4" s="9"/>
      <c r="P4" s="9"/>
    </row>
    <row r="5" spans="1:17" ht="54" customHeight="1">
      <c r="A5" s="38"/>
      <c r="B5" s="280" t="s">
        <v>139</v>
      </c>
      <c r="C5" s="17">
        <v>0.55000000000000004</v>
      </c>
      <c r="D5" s="499" t="s">
        <v>36</v>
      </c>
      <c r="E5" s="121">
        <v>1.97</v>
      </c>
      <c r="F5" s="508">
        <v>16</v>
      </c>
      <c r="G5" s="511">
        <f t="shared" ref="G5:G12" si="0">ROUND(H5*(1-$B$57),2)</f>
        <v>851.55</v>
      </c>
      <c r="H5" s="690">
        <v>851.55000000000007</v>
      </c>
      <c r="I5" s="691"/>
      <c r="J5" s="9"/>
      <c r="K5" s="509"/>
      <c r="L5" s="9"/>
      <c r="M5" s="9"/>
      <c r="N5" s="9"/>
      <c r="O5" s="9"/>
      <c r="P5" s="9"/>
    </row>
    <row r="6" spans="1:17" ht="54" customHeight="1">
      <c r="A6" s="38"/>
      <c r="B6" s="280" t="s">
        <v>134</v>
      </c>
      <c r="C6" s="17">
        <v>0.55000000000000004</v>
      </c>
      <c r="D6" s="499" t="s">
        <v>36</v>
      </c>
      <c r="E6" s="121">
        <v>1.08</v>
      </c>
      <c r="F6" s="508">
        <v>20</v>
      </c>
      <c r="G6" s="511">
        <f t="shared" si="0"/>
        <v>399</v>
      </c>
      <c r="H6" s="690">
        <v>399</v>
      </c>
      <c r="I6" s="691"/>
      <c r="J6" s="9"/>
      <c r="K6" s="509"/>
      <c r="L6" s="9"/>
      <c r="M6" s="9"/>
      <c r="N6" s="9"/>
      <c r="O6" s="9"/>
      <c r="P6" s="9"/>
    </row>
    <row r="7" spans="1:17" ht="54" customHeight="1">
      <c r="A7" s="38"/>
      <c r="B7" s="280" t="s">
        <v>354</v>
      </c>
      <c r="C7" s="17">
        <v>0.55000000000000004</v>
      </c>
      <c r="D7" s="499" t="s">
        <v>36</v>
      </c>
      <c r="E7" s="121" t="s">
        <v>78</v>
      </c>
      <c r="F7" s="508" t="s">
        <v>78</v>
      </c>
      <c r="G7" s="511">
        <f t="shared" si="0"/>
        <v>767.55</v>
      </c>
      <c r="H7" s="690">
        <v>767.55000000000007</v>
      </c>
      <c r="I7" s="691"/>
      <c r="J7" s="9"/>
      <c r="K7" s="509"/>
      <c r="L7" s="9"/>
      <c r="M7" s="9"/>
      <c r="N7" s="9"/>
      <c r="O7" s="9"/>
      <c r="P7" s="9"/>
    </row>
    <row r="8" spans="1:17" ht="54" customHeight="1">
      <c r="A8" s="38"/>
      <c r="B8" s="280" t="s">
        <v>355</v>
      </c>
      <c r="C8" s="17">
        <v>0.55000000000000004</v>
      </c>
      <c r="D8" s="499" t="s">
        <v>36</v>
      </c>
      <c r="E8" s="121" t="s">
        <v>78</v>
      </c>
      <c r="F8" s="508" t="s">
        <v>207</v>
      </c>
      <c r="G8" s="511">
        <f t="shared" si="0"/>
        <v>935.55</v>
      </c>
      <c r="H8" s="690">
        <v>935.55000000000007</v>
      </c>
      <c r="I8" s="691"/>
      <c r="J8" s="9"/>
      <c r="K8" s="509"/>
      <c r="L8" s="9"/>
      <c r="M8" s="9"/>
      <c r="N8" s="9"/>
      <c r="O8" s="9"/>
      <c r="P8" s="9"/>
    </row>
    <row r="9" spans="1:17" ht="54" customHeight="1">
      <c r="A9" s="816"/>
      <c r="B9" s="280" t="s">
        <v>240</v>
      </c>
      <c r="C9" s="17">
        <v>0.55000000000000004</v>
      </c>
      <c r="D9" s="499" t="s">
        <v>36</v>
      </c>
      <c r="E9" s="121">
        <v>1.1000000000000001</v>
      </c>
      <c r="F9" s="508" t="s">
        <v>207</v>
      </c>
      <c r="G9" s="511">
        <f t="shared" si="0"/>
        <v>631.04999999999995</v>
      </c>
      <c r="H9" s="690">
        <v>631.05000000000007</v>
      </c>
      <c r="I9" s="691"/>
      <c r="J9" s="9"/>
      <c r="K9" s="509"/>
      <c r="L9" s="9"/>
      <c r="M9" s="9"/>
      <c r="N9" s="9"/>
      <c r="O9" s="9"/>
      <c r="P9" s="9"/>
    </row>
    <row r="10" spans="1:17" ht="54" customHeight="1">
      <c r="A10" s="817"/>
      <c r="B10" s="280" t="s">
        <v>241</v>
      </c>
      <c r="C10" s="17">
        <v>0.95</v>
      </c>
      <c r="D10" s="499" t="s">
        <v>36</v>
      </c>
      <c r="E10" s="121">
        <v>1.86</v>
      </c>
      <c r="F10" s="508" t="s">
        <v>207</v>
      </c>
      <c r="G10" s="511">
        <f t="shared" si="0"/>
        <v>1407</v>
      </c>
      <c r="H10" s="690">
        <v>1407</v>
      </c>
      <c r="I10" s="691"/>
      <c r="J10" s="9"/>
      <c r="K10" s="509"/>
      <c r="L10" s="9"/>
      <c r="M10" s="9"/>
      <c r="N10" s="9"/>
      <c r="O10" s="9"/>
      <c r="P10" s="9"/>
    </row>
    <row r="11" spans="1:17" ht="54" customHeight="1">
      <c r="A11" s="500"/>
      <c r="B11" s="280" t="s">
        <v>408</v>
      </c>
      <c r="C11" s="17">
        <v>0.5</v>
      </c>
      <c r="D11" s="499" t="s">
        <v>36</v>
      </c>
      <c r="E11" s="507">
        <v>1.08</v>
      </c>
      <c r="F11" s="508" t="s">
        <v>207</v>
      </c>
      <c r="G11" s="511">
        <f t="shared" si="0"/>
        <v>326.55</v>
      </c>
      <c r="H11" s="692">
        <v>326.55</v>
      </c>
      <c r="I11" s="691"/>
      <c r="J11" s="9"/>
      <c r="K11" s="510"/>
      <c r="L11" s="9"/>
      <c r="M11" s="9"/>
      <c r="N11" s="9"/>
      <c r="O11" s="9"/>
      <c r="P11" s="9"/>
    </row>
    <row r="12" spans="1:17" ht="54" customHeight="1">
      <c r="A12" s="506"/>
      <c r="B12" s="280" t="s">
        <v>409</v>
      </c>
      <c r="C12" s="17">
        <v>0.5</v>
      </c>
      <c r="D12" s="499" t="s">
        <v>36</v>
      </c>
      <c r="E12" s="507">
        <v>1.9</v>
      </c>
      <c r="F12" s="508" t="s">
        <v>207</v>
      </c>
      <c r="G12" s="511">
        <f t="shared" si="0"/>
        <v>653.1</v>
      </c>
      <c r="H12" s="693">
        <v>653.1</v>
      </c>
      <c r="I12" s="691"/>
      <c r="J12" s="9"/>
      <c r="K12" s="9"/>
      <c r="L12" s="9"/>
      <c r="M12" s="9"/>
      <c r="N12" s="9"/>
      <c r="O12" s="9"/>
      <c r="P12" s="9"/>
    </row>
    <row r="13" spans="1:17" ht="54" customHeight="1">
      <c r="A13" s="506"/>
      <c r="B13" s="280" t="s">
        <v>27</v>
      </c>
      <c r="C13" s="17" t="s">
        <v>26</v>
      </c>
      <c r="D13" s="504" t="s">
        <v>232</v>
      </c>
      <c r="E13" s="121">
        <v>4</v>
      </c>
      <c r="F13" s="508" t="s">
        <v>207</v>
      </c>
      <c r="G13" s="511">
        <f>ROUND(H13*(1-$B$57),2)</f>
        <v>3027.15</v>
      </c>
      <c r="H13" s="690">
        <v>3027.15</v>
      </c>
      <c r="I13" s="691"/>
      <c r="J13" s="9"/>
      <c r="K13" s="9"/>
      <c r="L13" s="9"/>
      <c r="M13" s="9"/>
      <c r="N13" s="9"/>
      <c r="O13" s="9"/>
      <c r="P13" s="9"/>
    </row>
    <row r="14" spans="1:17" ht="50.25" customHeight="1">
      <c r="A14" s="38"/>
      <c r="B14" s="789" t="s">
        <v>19</v>
      </c>
      <c r="C14" s="789"/>
      <c r="D14" s="378" t="s">
        <v>37</v>
      </c>
      <c r="E14" s="18">
        <v>2E-3</v>
      </c>
      <c r="F14" s="385">
        <v>200</v>
      </c>
      <c r="G14" s="108">
        <f t="shared" ref="G14:G41" si="1">ROUND(H14*(1-$B$57),2)</f>
        <v>14.7</v>
      </c>
      <c r="H14" s="694">
        <v>14.700000000000001</v>
      </c>
      <c r="I14" s="691"/>
      <c r="J14" s="9"/>
      <c r="K14" s="9"/>
      <c r="L14" s="9"/>
      <c r="M14" s="9"/>
      <c r="N14" s="9"/>
      <c r="O14" s="9"/>
    </row>
    <row r="15" spans="1:17" ht="51" customHeight="1">
      <c r="A15" s="38"/>
      <c r="B15" s="789" t="s">
        <v>200</v>
      </c>
      <c r="C15" s="789"/>
      <c r="D15" s="378" t="s">
        <v>209</v>
      </c>
      <c r="E15" s="121">
        <v>0.05</v>
      </c>
      <c r="F15" s="377">
        <v>100</v>
      </c>
      <c r="G15" s="108">
        <f t="shared" si="1"/>
        <v>21</v>
      </c>
      <c r="H15" s="694">
        <v>21</v>
      </c>
      <c r="I15" s="691"/>
      <c r="J15" s="9"/>
      <c r="K15" s="9"/>
      <c r="L15" s="9"/>
      <c r="M15" s="9"/>
      <c r="N15" s="9"/>
      <c r="O15" s="9"/>
    </row>
    <row r="16" spans="1:17" ht="54" customHeight="1">
      <c r="A16" s="38"/>
      <c r="B16" s="810" t="s">
        <v>96</v>
      </c>
      <c r="C16" s="811"/>
      <c r="D16" s="378" t="s">
        <v>38</v>
      </c>
      <c r="E16" s="244">
        <v>0.17</v>
      </c>
      <c r="F16" s="97" t="s">
        <v>78</v>
      </c>
      <c r="G16" s="108">
        <f t="shared" si="1"/>
        <v>447.3</v>
      </c>
      <c r="H16" s="695">
        <v>447.3</v>
      </c>
      <c r="I16" s="691"/>
      <c r="J16" s="9"/>
      <c r="K16" s="9"/>
      <c r="L16" s="9"/>
      <c r="M16" s="9"/>
      <c r="N16" s="9"/>
      <c r="O16" s="9"/>
      <c r="P16" s="9"/>
    </row>
    <row r="17" spans="1:16" ht="55.95" customHeight="1">
      <c r="A17" s="38"/>
      <c r="B17" s="810" t="s">
        <v>183</v>
      </c>
      <c r="C17" s="811"/>
      <c r="D17" s="262" t="s">
        <v>221</v>
      </c>
      <c r="E17" s="18" t="s">
        <v>78</v>
      </c>
      <c r="F17" s="244">
        <v>200</v>
      </c>
      <c r="G17" s="108">
        <f t="shared" si="1"/>
        <v>49</v>
      </c>
      <c r="H17" s="696">
        <v>49</v>
      </c>
      <c r="I17" s="691"/>
      <c r="J17" s="9"/>
      <c r="K17" s="9"/>
      <c r="L17" s="9"/>
      <c r="M17" s="9"/>
      <c r="N17" s="9"/>
      <c r="O17" s="9"/>
      <c r="P17" s="9"/>
    </row>
    <row r="18" spans="1:16" ht="55.95" customHeight="1">
      <c r="A18" s="252"/>
      <c r="B18" s="846" t="s">
        <v>201</v>
      </c>
      <c r="C18" s="847"/>
      <c r="D18" s="262" t="s">
        <v>36</v>
      </c>
      <c r="E18" s="243">
        <v>0.72</v>
      </c>
      <c r="F18" s="247">
        <v>2</v>
      </c>
      <c r="G18" s="249">
        <f t="shared" si="1"/>
        <v>544.95000000000005</v>
      </c>
      <c r="H18" s="696">
        <v>544.95000000000005</v>
      </c>
      <c r="I18" s="691"/>
      <c r="J18" s="9"/>
      <c r="K18" s="9"/>
      <c r="L18" s="9"/>
      <c r="M18" s="9"/>
      <c r="N18" s="9"/>
      <c r="O18" s="9"/>
      <c r="P18" s="9"/>
    </row>
    <row r="19" spans="1:16" ht="56.1" customHeight="1">
      <c r="A19" s="782"/>
      <c r="B19" s="849" t="s">
        <v>356</v>
      </c>
      <c r="C19" s="280" t="s">
        <v>282</v>
      </c>
      <c r="D19" s="262" t="s">
        <v>358</v>
      </c>
      <c r="E19" s="689" t="s">
        <v>550</v>
      </c>
      <c r="F19" s="245">
        <v>50</v>
      </c>
      <c r="G19" s="108">
        <f t="shared" si="1"/>
        <v>628.95000000000005</v>
      </c>
      <c r="H19" s="696">
        <v>628.95000000000005</v>
      </c>
      <c r="I19" s="691"/>
      <c r="J19" s="9"/>
      <c r="K19" s="9"/>
      <c r="L19" s="9"/>
      <c r="M19" s="9"/>
      <c r="N19" s="9"/>
      <c r="O19" s="9"/>
      <c r="P19" s="9"/>
    </row>
    <row r="20" spans="1:16" ht="51.75" customHeight="1">
      <c r="A20" s="782"/>
      <c r="B20" s="850"/>
      <c r="C20" s="280" t="s">
        <v>283</v>
      </c>
      <c r="D20" s="262" t="s">
        <v>359</v>
      </c>
      <c r="E20" s="687">
        <v>3.22</v>
      </c>
      <c r="F20" s="245" t="s">
        <v>207</v>
      </c>
      <c r="G20" s="108">
        <f t="shared" si="1"/>
        <v>698.25</v>
      </c>
      <c r="H20" s="696">
        <v>698.25</v>
      </c>
      <c r="I20" s="691"/>
      <c r="J20" s="9"/>
      <c r="K20" s="9"/>
      <c r="L20" s="9"/>
      <c r="M20" s="9"/>
      <c r="N20" s="9"/>
      <c r="O20" s="9"/>
      <c r="P20" s="9"/>
    </row>
    <row r="21" spans="1:16" ht="56.1" customHeight="1">
      <c r="A21" s="115"/>
      <c r="B21" s="844" t="s">
        <v>357</v>
      </c>
      <c r="C21" s="854"/>
      <c r="D21" s="285"/>
      <c r="E21" s="286"/>
      <c r="F21" s="245" t="s">
        <v>207</v>
      </c>
      <c r="G21" s="249">
        <f t="shared" si="1"/>
        <v>364.35</v>
      </c>
      <c r="H21" s="696">
        <v>364.35</v>
      </c>
      <c r="I21" s="691"/>
      <c r="J21" s="9"/>
      <c r="K21" s="9"/>
      <c r="L21" s="9"/>
      <c r="M21" s="9"/>
      <c r="N21" s="9"/>
      <c r="O21" s="9"/>
      <c r="P21" s="9"/>
    </row>
    <row r="22" spans="1:16" ht="56.1" customHeight="1">
      <c r="A22" s="253"/>
      <c r="B22" s="844" t="s">
        <v>20</v>
      </c>
      <c r="C22" s="845"/>
      <c r="D22" s="263" t="s">
        <v>37</v>
      </c>
      <c r="E22" s="256">
        <v>0.11</v>
      </c>
      <c r="F22" s="245" t="s">
        <v>207</v>
      </c>
      <c r="G22" s="249">
        <f t="shared" si="1"/>
        <v>33.6</v>
      </c>
      <c r="H22" s="696">
        <v>33.6</v>
      </c>
      <c r="I22" s="691"/>
      <c r="J22" s="9"/>
      <c r="K22" s="9"/>
      <c r="L22" s="9"/>
      <c r="M22" s="9"/>
      <c r="N22" s="9"/>
      <c r="O22" s="9"/>
      <c r="P22" s="9"/>
    </row>
    <row r="23" spans="1:16" ht="35.1" customHeight="1">
      <c r="A23" s="851"/>
      <c r="B23" s="841" t="s">
        <v>285</v>
      </c>
      <c r="C23" s="291" t="s">
        <v>286</v>
      </c>
      <c r="D23" s="294" t="s">
        <v>35</v>
      </c>
      <c r="E23" s="288">
        <v>6.65</v>
      </c>
      <c r="F23" s="751" t="s">
        <v>70</v>
      </c>
      <c r="G23" s="144">
        <f t="shared" si="1"/>
        <v>2042.25</v>
      </c>
      <c r="H23" s="696">
        <v>2042.25</v>
      </c>
      <c r="I23" s="691"/>
      <c r="J23" s="9"/>
      <c r="K23" s="490"/>
      <c r="L23" s="447"/>
      <c r="M23" s="9"/>
      <c r="N23" s="9"/>
      <c r="O23" s="9"/>
      <c r="P23" s="9"/>
    </row>
    <row r="24" spans="1:16" ht="35.1" customHeight="1">
      <c r="A24" s="853"/>
      <c r="B24" s="843"/>
      <c r="C24" s="293" t="s">
        <v>287</v>
      </c>
      <c r="D24" s="295" t="s">
        <v>35</v>
      </c>
      <c r="E24" s="290">
        <v>8.35</v>
      </c>
      <c r="F24" s="752"/>
      <c r="G24" s="146">
        <f t="shared" si="1"/>
        <v>2619.75</v>
      </c>
      <c r="H24" s="696">
        <v>2619.75</v>
      </c>
      <c r="I24" s="691"/>
      <c r="J24" s="9"/>
      <c r="K24" s="490"/>
      <c r="L24" s="447"/>
      <c r="M24" s="9"/>
      <c r="N24" s="9"/>
      <c r="O24" s="9"/>
      <c r="P24" s="9"/>
    </row>
    <row r="25" spans="1:16" ht="56.1" customHeight="1">
      <c r="A25" s="255"/>
      <c r="B25" s="844" t="s">
        <v>22</v>
      </c>
      <c r="C25" s="845"/>
      <c r="D25" s="263" t="s">
        <v>37</v>
      </c>
      <c r="E25" s="256">
        <v>0.16</v>
      </c>
      <c r="F25" s="752"/>
      <c r="G25" s="249">
        <f t="shared" si="1"/>
        <v>33.6</v>
      </c>
      <c r="H25" s="696">
        <v>33.6</v>
      </c>
      <c r="I25" s="691"/>
      <c r="J25" s="9"/>
      <c r="K25" s="490"/>
      <c r="L25" s="447"/>
      <c r="M25" s="9"/>
      <c r="N25" s="9"/>
      <c r="O25" s="9"/>
      <c r="P25" s="9"/>
    </row>
    <row r="26" spans="1:16" ht="23.25" customHeight="1">
      <c r="A26" s="851"/>
      <c r="B26" s="841" t="s">
        <v>284</v>
      </c>
      <c r="C26" s="291" t="s">
        <v>286</v>
      </c>
      <c r="D26" s="294" t="s">
        <v>35</v>
      </c>
      <c r="E26" s="288">
        <v>5.5</v>
      </c>
      <c r="F26" s="752"/>
      <c r="G26" s="144">
        <f t="shared" si="1"/>
        <v>2160.9</v>
      </c>
      <c r="H26" s="696">
        <v>2160.9</v>
      </c>
      <c r="I26" s="691"/>
      <c r="J26" s="9"/>
      <c r="K26" s="490"/>
      <c r="L26" s="447"/>
      <c r="M26" s="9"/>
      <c r="N26" s="9"/>
      <c r="O26" s="9"/>
      <c r="P26" s="9"/>
    </row>
    <row r="27" spans="1:16" ht="23.25" customHeight="1">
      <c r="A27" s="852"/>
      <c r="B27" s="842"/>
      <c r="C27" s="292" t="s">
        <v>287</v>
      </c>
      <c r="D27" s="296" t="s">
        <v>35</v>
      </c>
      <c r="E27" s="289">
        <v>8.65</v>
      </c>
      <c r="F27" s="752"/>
      <c r="G27" s="145">
        <f t="shared" si="1"/>
        <v>2245.9499999999998</v>
      </c>
      <c r="H27" s="696">
        <v>2245.9500000000003</v>
      </c>
      <c r="I27" s="691"/>
      <c r="J27" s="9"/>
      <c r="K27" s="490"/>
      <c r="L27" s="447"/>
      <c r="M27" s="9"/>
      <c r="N27" s="9"/>
      <c r="O27" s="9"/>
      <c r="P27" s="9"/>
    </row>
    <row r="28" spans="1:16" ht="23.25" customHeight="1">
      <c r="A28" s="853"/>
      <c r="B28" s="843"/>
      <c r="C28" s="293" t="s">
        <v>288</v>
      </c>
      <c r="D28" s="295" t="s">
        <v>35</v>
      </c>
      <c r="E28" s="290">
        <v>11.8</v>
      </c>
      <c r="F28" s="759"/>
      <c r="G28" s="146">
        <f t="shared" si="1"/>
        <v>2842.35</v>
      </c>
      <c r="H28" s="696">
        <v>2842.35</v>
      </c>
      <c r="I28" s="691"/>
      <c r="J28" s="9"/>
      <c r="K28" s="490"/>
      <c r="L28" s="447"/>
      <c r="M28" s="9"/>
      <c r="N28" s="9"/>
      <c r="O28" s="9"/>
      <c r="P28" s="9"/>
    </row>
    <row r="29" spans="1:16" ht="56.1" customHeight="1">
      <c r="A29" s="254"/>
      <c r="B29" s="844" t="s">
        <v>21</v>
      </c>
      <c r="C29" s="845"/>
      <c r="D29" s="263" t="s">
        <v>23</v>
      </c>
      <c r="E29" s="132">
        <v>0.11</v>
      </c>
      <c r="F29" s="244" t="s">
        <v>207</v>
      </c>
      <c r="G29" s="249">
        <f t="shared" si="1"/>
        <v>33.6</v>
      </c>
      <c r="H29" s="696">
        <v>33.6</v>
      </c>
      <c r="I29" s="691"/>
      <c r="J29" s="9"/>
      <c r="K29" s="9"/>
      <c r="L29" s="9"/>
      <c r="M29" s="9"/>
      <c r="N29" s="9"/>
      <c r="O29" s="9"/>
      <c r="P29" s="9"/>
    </row>
    <row r="30" spans="1:16" ht="75" customHeight="1">
      <c r="A30" s="254"/>
      <c r="B30" s="844" t="s">
        <v>3</v>
      </c>
      <c r="C30" s="845"/>
      <c r="D30" s="263" t="s">
        <v>35</v>
      </c>
      <c r="E30" s="132">
        <v>9.6</v>
      </c>
      <c r="F30" s="246">
        <v>1</v>
      </c>
      <c r="G30" s="249">
        <f t="shared" si="1"/>
        <v>6058.5</v>
      </c>
      <c r="H30" s="696">
        <v>6058.5</v>
      </c>
      <c r="I30" s="691"/>
      <c r="J30" s="9"/>
      <c r="K30" s="9"/>
      <c r="L30" s="9"/>
      <c r="M30" s="9"/>
      <c r="N30" s="9"/>
      <c r="O30" s="9"/>
      <c r="P30" s="9"/>
    </row>
    <row r="31" spans="1:16">
      <c r="A31" s="827"/>
      <c r="B31" s="282" t="s">
        <v>71</v>
      </c>
      <c r="C31" s="824" t="s">
        <v>126</v>
      </c>
      <c r="D31" s="824"/>
      <c r="E31" s="824"/>
      <c r="F31" s="829">
        <v>1</v>
      </c>
      <c r="G31" s="110">
        <f t="shared" si="1"/>
        <v>1077.3</v>
      </c>
      <c r="H31" s="696">
        <v>1077.3</v>
      </c>
      <c r="I31" s="691"/>
      <c r="J31" s="9"/>
      <c r="K31" s="9"/>
      <c r="L31" s="9"/>
      <c r="M31" s="9"/>
      <c r="N31" s="9"/>
      <c r="O31" s="9"/>
      <c r="P31" s="9"/>
    </row>
    <row r="32" spans="1:16">
      <c r="A32" s="827"/>
      <c r="B32" s="283" t="s">
        <v>72</v>
      </c>
      <c r="C32" s="832" t="s">
        <v>69</v>
      </c>
      <c r="D32" s="833"/>
      <c r="E32" s="834"/>
      <c r="F32" s="830"/>
      <c r="G32" s="111">
        <f t="shared" si="1"/>
        <v>1615.95</v>
      </c>
      <c r="H32" s="696">
        <v>1615.95</v>
      </c>
      <c r="I32" s="691"/>
      <c r="J32" s="9"/>
      <c r="K32" s="9"/>
      <c r="L32" s="9"/>
      <c r="M32" s="9"/>
      <c r="N32" s="9"/>
      <c r="O32" s="9"/>
      <c r="P32" s="9"/>
    </row>
    <row r="33" spans="1:17">
      <c r="A33" s="827"/>
      <c r="B33" s="283" t="s">
        <v>73</v>
      </c>
      <c r="C33" s="835"/>
      <c r="D33" s="836"/>
      <c r="E33" s="837"/>
      <c r="F33" s="830"/>
      <c r="G33" s="111">
        <f t="shared" si="1"/>
        <v>1289.4000000000001</v>
      </c>
      <c r="H33" s="696">
        <v>1289.4000000000001</v>
      </c>
      <c r="I33" s="691"/>
      <c r="J33" s="9"/>
      <c r="K33" s="9"/>
      <c r="L33" s="9"/>
      <c r="M33" s="9"/>
      <c r="N33" s="9"/>
      <c r="O33" s="9"/>
      <c r="P33" s="9"/>
    </row>
    <row r="34" spans="1:17">
      <c r="A34" s="827"/>
      <c r="B34" s="283" t="s">
        <v>74</v>
      </c>
      <c r="C34" s="835"/>
      <c r="D34" s="836"/>
      <c r="E34" s="837"/>
      <c r="F34" s="830"/>
      <c r="G34" s="111">
        <f t="shared" si="1"/>
        <v>2025.45</v>
      </c>
      <c r="H34" s="696">
        <v>2025.45</v>
      </c>
      <c r="I34" s="691"/>
      <c r="J34" s="9"/>
      <c r="K34" s="9"/>
      <c r="L34" s="9"/>
      <c r="M34" s="9"/>
      <c r="N34" s="9"/>
      <c r="O34" s="9"/>
      <c r="P34" s="9"/>
    </row>
    <row r="35" spans="1:17">
      <c r="A35" s="827"/>
      <c r="B35" s="284" t="s">
        <v>75</v>
      </c>
      <c r="C35" s="838"/>
      <c r="D35" s="839"/>
      <c r="E35" s="840"/>
      <c r="F35" s="831"/>
      <c r="G35" s="112">
        <f t="shared" si="1"/>
        <v>2020.2</v>
      </c>
      <c r="H35" s="696">
        <v>2020.2</v>
      </c>
      <c r="I35" s="691"/>
      <c r="J35" s="9"/>
      <c r="K35" s="9"/>
      <c r="L35" s="9"/>
      <c r="M35" s="9"/>
      <c r="N35" s="9"/>
      <c r="O35" s="9"/>
      <c r="P35" s="9"/>
    </row>
    <row r="36" spans="1:17" ht="23.25" customHeight="1">
      <c r="A36" s="827"/>
      <c r="B36" s="282" t="s">
        <v>127</v>
      </c>
      <c r="C36" s="824" t="s">
        <v>69</v>
      </c>
      <c r="D36" s="824"/>
      <c r="E36" s="824"/>
      <c r="F36" s="829">
        <v>1</v>
      </c>
      <c r="G36" s="110">
        <f t="shared" si="1"/>
        <v>1890</v>
      </c>
      <c r="H36" s="696">
        <v>1890</v>
      </c>
      <c r="I36" s="691"/>
      <c r="J36" s="9"/>
      <c r="K36" s="9"/>
      <c r="L36" s="9"/>
      <c r="M36" s="9"/>
      <c r="N36" s="9"/>
      <c r="O36" s="9"/>
      <c r="P36" s="9"/>
    </row>
    <row r="37" spans="1:17" ht="23.25" customHeight="1">
      <c r="A37" s="827"/>
      <c r="B37" s="283" t="s">
        <v>205</v>
      </c>
      <c r="C37" s="825"/>
      <c r="D37" s="825"/>
      <c r="E37" s="825"/>
      <c r="F37" s="830"/>
      <c r="G37" s="111">
        <f t="shared" si="1"/>
        <v>2178.75</v>
      </c>
      <c r="H37" s="696">
        <v>2178.75</v>
      </c>
      <c r="I37" s="691"/>
      <c r="J37" s="9"/>
      <c r="K37" s="9"/>
      <c r="L37" s="9"/>
      <c r="M37" s="9"/>
      <c r="N37" s="9"/>
      <c r="O37" s="9"/>
      <c r="P37" s="9"/>
    </row>
    <row r="38" spans="1:17" ht="23.25" customHeight="1">
      <c r="A38" s="827"/>
      <c r="B38" s="284" t="s">
        <v>59</v>
      </c>
      <c r="C38" s="826"/>
      <c r="D38" s="826"/>
      <c r="E38" s="826"/>
      <c r="F38" s="831"/>
      <c r="G38" s="112">
        <f t="shared" si="1"/>
        <v>3005.1</v>
      </c>
      <c r="H38" s="696">
        <v>3005.1</v>
      </c>
      <c r="I38" s="691"/>
      <c r="J38" s="9"/>
      <c r="K38" s="9"/>
      <c r="L38" s="9"/>
      <c r="M38" s="9"/>
      <c r="N38" s="9"/>
      <c r="O38" s="9"/>
      <c r="P38" s="9"/>
    </row>
    <row r="39" spans="1:17" ht="23.25" customHeight="1">
      <c r="A39" s="816"/>
      <c r="B39" s="281" t="s">
        <v>247</v>
      </c>
      <c r="C39" s="848" t="s">
        <v>125</v>
      </c>
      <c r="D39" s="819"/>
      <c r="E39" s="820"/>
      <c r="F39" s="248">
        <v>1</v>
      </c>
      <c r="G39" s="732">
        <f t="shared" si="1"/>
        <v>2564.1</v>
      </c>
      <c r="H39" s="696">
        <v>2564.1</v>
      </c>
      <c r="I39" s="691"/>
      <c r="J39" s="9"/>
      <c r="K39" s="9"/>
      <c r="L39" s="9"/>
      <c r="M39" s="9"/>
      <c r="N39" s="9"/>
      <c r="O39" s="9"/>
      <c r="P39" s="9"/>
    </row>
    <row r="40" spans="1:17" ht="50.1" customHeight="1">
      <c r="A40" s="817"/>
      <c r="B40" s="281" t="s">
        <v>248</v>
      </c>
      <c r="C40" s="848" t="s">
        <v>125</v>
      </c>
      <c r="D40" s="819"/>
      <c r="E40" s="820"/>
      <c r="F40" s="248">
        <v>1</v>
      </c>
      <c r="G40" s="732">
        <f t="shared" si="1"/>
        <v>820.05</v>
      </c>
      <c r="H40" s="696">
        <v>820.05000000000007</v>
      </c>
      <c r="I40" s="691"/>
      <c r="J40" s="9"/>
      <c r="K40" s="9"/>
      <c r="L40" s="9"/>
      <c r="M40" s="9"/>
      <c r="N40" s="9"/>
      <c r="O40" s="9"/>
      <c r="P40" s="9"/>
    </row>
    <row r="41" spans="1:17" ht="50.1" customHeight="1">
      <c r="A41" s="12"/>
      <c r="B41" s="280" t="s">
        <v>57</v>
      </c>
      <c r="C41" s="780" t="s">
        <v>52</v>
      </c>
      <c r="D41" s="781"/>
      <c r="E41" s="19" t="s">
        <v>58</v>
      </c>
      <c r="F41" s="244">
        <v>1</v>
      </c>
      <c r="G41" s="108">
        <f t="shared" si="1"/>
        <v>255</v>
      </c>
      <c r="H41" s="696">
        <v>255</v>
      </c>
      <c r="I41" s="691"/>
      <c r="J41" s="9"/>
      <c r="K41" s="9"/>
      <c r="L41" s="9"/>
      <c r="M41" s="9"/>
      <c r="N41" s="9"/>
      <c r="O41" s="9"/>
      <c r="P41" s="9"/>
      <c r="Q41" s="9"/>
    </row>
    <row r="42" spans="1:17" ht="75" customHeight="1">
      <c r="A42" s="12"/>
      <c r="B42" s="280" t="s">
        <v>53</v>
      </c>
      <c r="C42" s="19" t="s">
        <v>130</v>
      </c>
      <c r="D42" s="287"/>
      <c r="E42" s="91">
        <v>2</v>
      </c>
      <c r="F42" s="244">
        <v>1</v>
      </c>
      <c r="G42" s="109">
        <f>ROUND(H42*(1-$B$57),2)</f>
        <v>26000</v>
      </c>
      <c r="H42" s="696">
        <v>26000</v>
      </c>
      <c r="I42" s="691"/>
      <c r="J42" s="9"/>
      <c r="K42" s="9"/>
      <c r="L42" s="9"/>
      <c r="M42" s="9"/>
      <c r="N42" s="9"/>
      <c r="O42" s="9"/>
      <c r="P42" s="9"/>
      <c r="Q42" s="9"/>
    </row>
    <row r="43" spans="1:17" ht="45" customHeight="1">
      <c r="A43" s="779" t="s">
        <v>344</v>
      </c>
      <c r="B43" s="779"/>
      <c r="C43" s="779"/>
      <c r="D43" s="779"/>
      <c r="E43" s="779"/>
      <c r="F43" s="779"/>
      <c r="G43" s="779"/>
      <c r="H43" s="474"/>
      <c r="I43" s="475"/>
      <c r="J43" s="9"/>
      <c r="K43" s="9"/>
      <c r="L43" s="9"/>
      <c r="M43" s="9"/>
      <c r="N43" s="9"/>
      <c r="O43" s="9"/>
      <c r="P43" s="9"/>
      <c r="Q43" s="9"/>
    </row>
    <row r="44" spans="1:17" ht="25.5" customHeight="1">
      <c r="A44" s="823" t="s">
        <v>551</v>
      </c>
      <c r="B44" s="823"/>
      <c r="C44" s="823"/>
      <c r="D44" s="777" t="s">
        <v>24</v>
      </c>
      <c r="E44" s="777"/>
      <c r="F44" s="777"/>
      <c r="G44" s="777"/>
      <c r="H44" s="150"/>
      <c r="I44" s="102"/>
      <c r="J44" s="9"/>
      <c r="K44" s="9"/>
      <c r="L44" s="9"/>
      <c r="M44" s="9"/>
      <c r="N44" s="9"/>
      <c r="O44" s="9"/>
      <c r="P44" s="9"/>
      <c r="Q44" s="9"/>
    </row>
    <row r="45" spans="1:17" ht="25.5" customHeight="1">
      <c r="A45" s="823"/>
      <c r="B45" s="823"/>
      <c r="C45" s="823"/>
      <c r="D45" s="777"/>
      <c r="E45" s="777"/>
      <c r="F45" s="777"/>
      <c r="G45" s="777"/>
      <c r="H45" s="150"/>
      <c r="I45" s="102"/>
      <c r="J45" s="9"/>
      <c r="K45" s="9"/>
      <c r="L45" s="9"/>
      <c r="M45" s="9"/>
      <c r="N45" s="9"/>
      <c r="O45" s="9"/>
      <c r="P45" s="9"/>
      <c r="Q45" s="9"/>
    </row>
    <row r="46" spans="1:17" ht="25.5" customHeight="1">
      <c r="A46" s="812" t="s">
        <v>366</v>
      </c>
      <c r="B46" s="813" t="s">
        <v>367</v>
      </c>
      <c r="C46" s="813"/>
      <c r="D46" s="777"/>
      <c r="E46" s="777"/>
      <c r="F46" s="777"/>
      <c r="G46" s="777"/>
      <c r="H46" s="151"/>
      <c r="I46" s="102"/>
      <c r="J46" s="9"/>
      <c r="K46" s="9"/>
      <c r="L46" s="9"/>
      <c r="M46" s="9"/>
      <c r="N46" s="9"/>
      <c r="O46" s="9"/>
      <c r="P46" s="9"/>
      <c r="Q46" s="9"/>
    </row>
    <row r="47" spans="1:17" ht="25.5" customHeight="1">
      <c r="A47" s="812"/>
      <c r="B47" s="813"/>
      <c r="C47" s="813"/>
      <c r="D47" s="778" t="s">
        <v>25</v>
      </c>
      <c r="E47" s="778"/>
      <c r="F47" s="778"/>
      <c r="G47" s="778"/>
      <c r="H47" s="151"/>
      <c r="I47" s="102"/>
      <c r="J47" s="9"/>
      <c r="K47" s="9"/>
      <c r="L47" s="9"/>
      <c r="M47" s="9"/>
      <c r="N47" s="9"/>
      <c r="O47" s="9"/>
      <c r="P47" s="9"/>
      <c r="Q47" s="9"/>
    </row>
    <row r="48" spans="1:17" ht="23.25" customHeight="1">
      <c r="C48" s="373"/>
      <c r="D48" s="778"/>
      <c r="E48" s="778"/>
      <c r="F48" s="778"/>
      <c r="G48" s="778"/>
      <c r="H48" s="151"/>
      <c r="I48" s="102"/>
      <c r="J48" s="9"/>
      <c r="K48" s="9"/>
      <c r="L48" s="9"/>
      <c r="M48" s="9"/>
      <c r="N48" s="9"/>
      <c r="O48" s="9"/>
      <c r="P48" s="9"/>
      <c r="Q48" s="9"/>
    </row>
    <row r="49" spans="1:17" ht="23.25" customHeight="1">
      <c r="A49" s="815" t="s">
        <v>382</v>
      </c>
      <c r="B49" s="814" t="s">
        <v>379</v>
      </c>
      <c r="C49" s="469"/>
      <c r="D49" s="821" t="s">
        <v>371</v>
      </c>
      <c r="E49" s="821"/>
      <c r="F49" s="821"/>
      <c r="G49" s="821"/>
      <c r="H49" s="151"/>
      <c r="I49" s="102"/>
      <c r="J49" s="9"/>
      <c r="K49" s="9"/>
      <c r="L49" s="9"/>
      <c r="M49" s="9"/>
      <c r="N49" s="9"/>
      <c r="O49" s="9"/>
      <c r="P49" s="9"/>
      <c r="Q49" s="9"/>
    </row>
    <row r="50" spans="1:17" ht="30.75" customHeight="1">
      <c r="A50" s="815"/>
      <c r="B50" s="814"/>
      <c r="C50" s="1486" t="s">
        <v>381</v>
      </c>
      <c r="D50" s="476" t="s">
        <v>372</v>
      </c>
      <c r="E50" s="476" t="s">
        <v>373</v>
      </c>
      <c r="F50" s="476" t="s">
        <v>374</v>
      </c>
      <c r="G50" s="476" t="s">
        <v>375</v>
      </c>
      <c r="H50" s="152"/>
      <c r="I50" s="102"/>
      <c r="J50" s="9"/>
      <c r="K50" s="9"/>
      <c r="L50" s="9"/>
      <c r="M50" s="9"/>
      <c r="N50" s="9"/>
      <c r="O50" s="9"/>
      <c r="P50" s="9"/>
      <c r="Q50" s="9"/>
    </row>
    <row r="51" spans="1:17" ht="69.900000000000006" customHeight="1">
      <c r="A51" s="815"/>
      <c r="B51" s="822" t="s">
        <v>378</v>
      </c>
      <c r="C51" s="1486" t="s">
        <v>368</v>
      </c>
      <c r="D51" s="818" t="s">
        <v>383</v>
      </c>
      <c r="E51" s="819"/>
      <c r="F51" s="819"/>
      <c r="G51" s="820"/>
      <c r="H51" s="152"/>
      <c r="I51" s="102"/>
      <c r="J51" s="9"/>
      <c r="K51" s="9"/>
      <c r="L51" s="9"/>
      <c r="M51" s="9"/>
      <c r="N51" s="9"/>
      <c r="O51" s="9"/>
      <c r="P51" s="9"/>
      <c r="Q51" s="9"/>
    </row>
    <row r="52" spans="1:17" ht="99.9" customHeight="1">
      <c r="A52" s="513"/>
      <c r="B52" s="822"/>
      <c r="C52" s="1487" t="s">
        <v>369</v>
      </c>
      <c r="D52" s="473" t="s">
        <v>384</v>
      </c>
      <c r="E52" s="473" t="s">
        <v>376</v>
      </c>
      <c r="F52" s="473" t="s">
        <v>385</v>
      </c>
      <c r="G52" s="473" t="s">
        <v>387</v>
      </c>
      <c r="H52" s="152"/>
      <c r="I52" s="102"/>
      <c r="J52" s="9"/>
      <c r="K52" s="9"/>
      <c r="L52" s="9"/>
      <c r="M52" s="9"/>
      <c r="N52" s="9"/>
      <c r="O52" s="9"/>
      <c r="P52" s="9"/>
      <c r="Q52" s="9"/>
    </row>
    <row r="53" spans="1:17" s="472" customFormat="1" ht="80.25" customHeight="1">
      <c r="B53" s="62" t="s">
        <v>380</v>
      </c>
      <c r="C53" s="1487" t="s">
        <v>370</v>
      </c>
      <c r="D53" s="473" t="s">
        <v>377</v>
      </c>
      <c r="E53" s="473" t="s">
        <v>376</v>
      </c>
      <c r="F53" s="473" t="s">
        <v>386</v>
      </c>
      <c r="G53" s="473" t="s">
        <v>388</v>
      </c>
      <c r="H53" s="152"/>
      <c r="I53" s="470"/>
      <c r="J53" s="471"/>
      <c r="K53" s="471"/>
      <c r="L53" s="471"/>
      <c r="M53" s="471"/>
      <c r="N53" s="471"/>
      <c r="O53" s="471"/>
      <c r="P53" s="471"/>
      <c r="Q53" s="471"/>
    </row>
    <row r="54" spans="1:17" ht="42" customHeight="1">
      <c r="A54" s="477"/>
      <c r="B54" s="478"/>
      <c r="H54" s="152"/>
      <c r="I54" s="102"/>
      <c r="J54" s="9"/>
      <c r="K54" s="9"/>
      <c r="L54" s="9"/>
      <c r="M54" s="9"/>
      <c r="N54" s="9"/>
      <c r="O54" s="9"/>
      <c r="P54" s="9"/>
      <c r="Q54" s="9"/>
    </row>
    <row r="55" spans="1:17" ht="42" customHeight="1">
      <c r="A55" s="477"/>
      <c r="B55" s="478"/>
      <c r="H55" s="152"/>
      <c r="I55" s="102"/>
      <c r="J55" s="9"/>
      <c r="K55" s="9"/>
      <c r="L55" s="9"/>
      <c r="M55" s="9"/>
      <c r="N55" s="9"/>
      <c r="O55" s="9"/>
      <c r="P55" s="9"/>
      <c r="Q55" s="9"/>
    </row>
    <row r="56" spans="1:17">
      <c r="B56" s="9"/>
      <c r="C56" s="9"/>
      <c r="D56" s="9"/>
      <c r="E56" s="9"/>
      <c r="F56" s="9"/>
      <c r="G56" s="9"/>
      <c r="H56" s="150"/>
      <c r="I56" s="9"/>
      <c r="J56" s="9"/>
      <c r="K56" s="9"/>
      <c r="L56" s="9"/>
      <c r="M56" s="9"/>
      <c r="N56" s="9"/>
      <c r="O56" s="9"/>
      <c r="P56" s="9"/>
      <c r="Q56" s="9"/>
    </row>
    <row r="57" spans="1:17" ht="33">
      <c r="A57" s="257" t="s">
        <v>93</v>
      </c>
      <c r="B57" s="65">
        <v>0</v>
      </c>
      <c r="C57" s="9"/>
      <c r="D57" s="9"/>
      <c r="E57" s="9"/>
      <c r="F57" s="9"/>
      <c r="G57" s="9"/>
      <c r="H57" s="150"/>
      <c r="I57" s="9"/>
      <c r="J57" s="25"/>
      <c r="K57" s="25"/>
      <c r="L57" s="25"/>
      <c r="M57" s="25"/>
      <c r="N57" s="25"/>
      <c r="O57" s="25"/>
      <c r="P57" s="25"/>
      <c r="Q57" s="26"/>
    </row>
    <row r="58" spans="1:17">
      <c r="A58" s="27"/>
      <c r="B58" s="9"/>
      <c r="C58" s="9"/>
      <c r="D58" s="9"/>
      <c r="E58" s="9"/>
      <c r="F58" s="9"/>
      <c r="G58" s="9"/>
      <c r="H58" s="150"/>
      <c r="I58" s="9"/>
      <c r="J58" s="25"/>
      <c r="K58" s="25"/>
      <c r="L58" s="25"/>
      <c r="M58" s="25"/>
      <c r="N58" s="25"/>
      <c r="O58" s="25"/>
      <c r="P58" s="25"/>
      <c r="Q58" s="26"/>
    </row>
    <row r="59" spans="1:17" ht="14.25" customHeight="1">
      <c r="A59" s="25"/>
      <c r="B59" s="25"/>
      <c r="C59" s="25"/>
      <c r="D59" s="25"/>
      <c r="E59" s="25"/>
      <c r="F59" s="25"/>
      <c r="G59" s="25"/>
      <c r="H59" s="125"/>
      <c r="I59" s="25"/>
      <c r="J59" s="25"/>
      <c r="K59" s="25"/>
      <c r="L59" s="25"/>
      <c r="M59" s="25"/>
      <c r="N59" s="25"/>
      <c r="O59" s="25"/>
      <c r="P59" s="25"/>
      <c r="Q59" s="9"/>
    </row>
    <row r="60" spans="1:17">
      <c r="A60" s="25"/>
      <c r="B60" s="25"/>
      <c r="C60" s="25"/>
      <c r="D60" s="25"/>
      <c r="E60" s="25"/>
      <c r="F60" s="25"/>
      <c r="G60" s="25"/>
      <c r="H60" s="125"/>
      <c r="I60" s="25"/>
      <c r="J60" s="9"/>
      <c r="K60" s="9"/>
      <c r="L60" s="9"/>
      <c r="M60" s="9"/>
      <c r="N60" s="9"/>
      <c r="O60" s="9"/>
      <c r="P60" s="9"/>
      <c r="Q60" s="9"/>
    </row>
    <row r="61" spans="1:17">
      <c r="A61" s="25"/>
      <c r="B61" s="25"/>
      <c r="C61" s="25"/>
      <c r="D61" s="25"/>
      <c r="E61" s="25"/>
      <c r="F61" s="25"/>
      <c r="G61" s="25"/>
      <c r="H61" s="125"/>
      <c r="I61" s="25"/>
    </row>
    <row r="62" spans="1:17">
      <c r="A62" s="9"/>
      <c r="B62" s="9"/>
      <c r="C62" s="9"/>
      <c r="D62" s="9"/>
      <c r="E62" s="9"/>
      <c r="F62" s="9"/>
      <c r="G62" s="9"/>
      <c r="H62" s="150"/>
      <c r="I62" s="9"/>
    </row>
  </sheetData>
  <mergeCells count="43">
    <mergeCell ref="A31:A35"/>
    <mergeCell ref="A39:A40"/>
    <mergeCell ref="C39:E39"/>
    <mergeCell ref="C40:E40"/>
    <mergeCell ref="A19:A20"/>
    <mergeCell ref="B19:B20"/>
    <mergeCell ref="A26:A28"/>
    <mergeCell ref="B21:C21"/>
    <mergeCell ref="B22:C22"/>
    <mergeCell ref="A23:A24"/>
    <mergeCell ref="B23:B24"/>
    <mergeCell ref="C41:D41"/>
    <mergeCell ref="B2:D2"/>
    <mergeCell ref="B3:C3"/>
    <mergeCell ref="F36:F38"/>
    <mergeCell ref="C32:E35"/>
    <mergeCell ref="B26:B28"/>
    <mergeCell ref="B16:C16"/>
    <mergeCell ref="F23:F28"/>
    <mergeCell ref="B25:C25"/>
    <mergeCell ref="B17:C17"/>
    <mergeCell ref="B18:C18"/>
    <mergeCell ref="C31:E31"/>
    <mergeCell ref="F31:F35"/>
    <mergeCell ref="B29:C29"/>
    <mergeCell ref="B30:C30"/>
    <mergeCell ref="B14:C14"/>
    <mergeCell ref="G2:H2"/>
    <mergeCell ref="A46:A47"/>
    <mergeCell ref="B46:C47"/>
    <mergeCell ref="B49:B50"/>
    <mergeCell ref="A49:A51"/>
    <mergeCell ref="A9:A10"/>
    <mergeCell ref="A43:G43"/>
    <mergeCell ref="D51:G51"/>
    <mergeCell ref="D49:G49"/>
    <mergeCell ref="B51:B52"/>
    <mergeCell ref="D44:G46"/>
    <mergeCell ref="D47:G48"/>
    <mergeCell ref="A44:C45"/>
    <mergeCell ref="B15:C15"/>
    <mergeCell ref="C36:E38"/>
    <mergeCell ref="A36:A38"/>
  </mergeCells>
  <printOptions horizontalCentered="1"/>
  <pageMargins left="0" right="0" top="0" bottom="0" header="0" footer="0"/>
  <pageSetup paperSize="9" scale="35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J66"/>
  <sheetViews>
    <sheetView showGridLines="0" zoomScale="55" zoomScaleNormal="55" zoomScaleSheetLayoutView="40" zoomScalePageLayoutView="40" workbookViewId="0">
      <selection activeCell="V3" sqref="V3"/>
    </sheetView>
  </sheetViews>
  <sheetFormatPr defaultColWidth="3.33203125" defaultRowHeight="17.399999999999999"/>
  <cols>
    <col min="1" max="1" width="32" style="1" customWidth="1"/>
    <col min="2" max="2" width="46.33203125" style="1" customWidth="1"/>
    <col min="3" max="3" width="31.5546875" style="1" customWidth="1"/>
    <col min="4" max="4" width="26.6640625" style="1" customWidth="1"/>
    <col min="5" max="5" width="19.6640625" style="1" customWidth="1"/>
    <col min="6" max="6" width="17.6640625" style="1" customWidth="1"/>
    <col min="7" max="7" width="20.6640625" style="1" customWidth="1"/>
    <col min="8" max="8" width="26" style="1" customWidth="1"/>
    <col min="9" max="9" width="63.109375" hidden="1" customWidth="1"/>
    <col min="10" max="10" width="12" style="227" hidden="1" customWidth="1"/>
    <col min="11" max="11" width="5.33203125" style="1" bestFit="1" customWidth="1"/>
    <col min="12" max="16384" width="3.33203125" style="1"/>
  </cols>
  <sheetData>
    <row r="1" spans="1:10" ht="75.75" customHeight="1">
      <c r="C1" s="176"/>
      <c r="D1" s="176"/>
      <c r="E1" s="176"/>
      <c r="F1" s="176"/>
      <c r="G1" s="189" t="s">
        <v>225</v>
      </c>
      <c r="H1" s="755">
        <v>42989</v>
      </c>
      <c r="I1" s="755"/>
    </row>
    <row r="2" spans="1:10" customFormat="1" ht="33" customHeight="1">
      <c r="A2" s="855" t="s">
        <v>267</v>
      </c>
      <c r="B2" s="855"/>
      <c r="C2" s="855"/>
      <c r="D2" s="855"/>
      <c r="E2" s="855"/>
      <c r="F2" s="855"/>
      <c r="G2" s="855"/>
      <c r="H2" s="855"/>
      <c r="J2" s="227"/>
    </row>
    <row r="3" spans="1:10" customFormat="1" ht="144" customHeight="1">
      <c r="A3" s="856" t="s">
        <v>147</v>
      </c>
      <c r="B3" s="859" t="s">
        <v>136</v>
      </c>
      <c r="C3" s="860"/>
      <c r="D3" s="863" t="s">
        <v>260</v>
      </c>
      <c r="E3" s="856" t="s">
        <v>158</v>
      </c>
      <c r="F3" s="856" t="s">
        <v>101</v>
      </c>
      <c r="G3" s="856" t="s">
        <v>160</v>
      </c>
      <c r="H3" s="856" t="s">
        <v>128</v>
      </c>
      <c r="I3" s="202" t="s">
        <v>266</v>
      </c>
      <c r="J3" s="228" t="s">
        <v>44</v>
      </c>
    </row>
    <row r="4" spans="1:10" customFormat="1" ht="27.15" customHeight="1">
      <c r="A4" s="857"/>
      <c r="B4" s="861"/>
      <c r="C4" s="862"/>
      <c r="D4" s="863"/>
      <c r="E4" s="857"/>
      <c r="F4" s="857"/>
      <c r="G4" s="857"/>
      <c r="H4" s="857"/>
      <c r="I4" s="203" t="s">
        <v>245</v>
      </c>
      <c r="J4" s="228"/>
    </row>
    <row r="5" spans="1:10" customFormat="1" ht="36.9" customHeight="1">
      <c r="A5" s="864"/>
      <c r="B5" s="865" t="s">
        <v>268</v>
      </c>
      <c r="C5" s="866"/>
      <c r="D5" s="205" t="s">
        <v>271</v>
      </c>
      <c r="E5" s="172">
        <v>3</v>
      </c>
      <c r="F5" s="172">
        <v>7.33</v>
      </c>
      <c r="G5" s="172">
        <v>80</v>
      </c>
      <c r="H5" s="206">
        <f>ROUND(J5*(1-$B$44),2)</f>
        <v>1446.9</v>
      </c>
      <c r="I5" s="207">
        <f>ROUND(((H5+H14+($H$26*E19))/2.5),0)</f>
        <v>826</v>
      </c>
      <c r="J5" s="229">
        <v>1446.9</v>
      </c>
    </row>
    <row r="6" spans="1:10" customFormat="1" ht="36.9" customHeight="1">
      <c r="A6" s="864"/>
      <c r="B6" s="867"/>
      <c r="C6" s="868"/>
      <c r="D6" s="208" t="s">
        <v>272</v>
      </c>
      <c r="E6" s="199">
        <v>3</v>
      </c>
      <c r="F6" s="199">
        <v>8.1300000000000008</v>
      </c>
      <c r="G6" s="199">
        <v>80</v>
      </c>
      <c r="H6" s="206">
        <f>ROUND(J6*(1-$B$44),2)</f>
        <v>1550.85</v>
      </c>
      <c r="I6" s="179">
        <f>ROUND(((H6+H14+($H$26*E19))/2.5),0)</f>
        <v>868</v>
      </c>
      <c r="J6" s="229">
        <v>1550.8500000000001</v>
      </c>
    </row>
    <row r="7" spans="1:10" customFormat="1" ht="36.9" customHeight="1">
      <c r="A7" s="864"/>
      <c r="B7" s="869"/>
      <c r="C7" s="870"/>
      <c r="D7" s="209" t="s">
        <v>273</v>
      </c>
      <c r="E7" s="173">
        <v>4</v>
      </c>
      <c r="F7" s="173">
        <v>9.69</v>
      </c>
      <c r="G7" s="173">
        <v>80</v>
      </c>
      <c r="H7" s="210">
        <f>ROUND(J7*(1-$B$44),2)</f>
        <v>1726.2</v>
      </c>
      <c r="I7" s="211" t="e">
        <f>ROUND(((H7+H16+($H$26*#REF!))/2.5),0)</f>
        <v>#REF!</v>
      </c>
      <c r="J7" s="229">
        <v>1726.2</v>
      </c>
    </row>
    <row r="8" spans="1:10" customFormat="1" ht="10.5" customHeight="1">
      <c r="A8" s="212"/>
      <c r="B8" s="213"/>
      <c r="C8" s="214"/>
      <c r="D8" s="215"/>
      <c r="E8" s="215"/>
      <c r="F8" s="215"/>
      <c r="G8" s="216"/>
      <c r="H8" s="217"/>
      <c r="I8" s="197"/>
      <c r="J8" s="229"/>
    </row>
    <row r="9" spans="1:10" customFormat="1" ht="39.9" customHeight="1">
      <c r="A9" s="858" t="s">
        <v>269</v>
      </c>
      <c r="B9" s="858"/>
      <c r="C9" s="858"/>
      <c r="D9" s="858"/>
      <c r="E9" s="858"/>
      <c r="F9" s="858"/>
      <c r="G9" s="858"/>
      <c r="H9" s="858"/>
      <c r="I9" s="197"/>
      <c r="J9" s="230"/>
    </row>
    <row r="10" spans="1:10" customFormat="1" ht="75" customHeight="1">
      <c r="A10" s="218" t="s">
        <v>147</v>
      </c>
      <c r="B10" s="871" t="s">
        <v>136</v>
      </c>
      <c r="C10" s="872"/>
      <c r="D10" s="218" t="s">
        <v>161</v>
      </c>
      <c r="E10" s="218" t="s">
        <v>159</v>
      </c>
      <c r="F10" s="218" t="s">
        <v>60</v>
      </c>
      <c r="G10" s="219" t="s">
        <v>160</v>
      </c>
      <c r="H10" s="220" t="s">
        <v>104</v>
      </c>
      <c r="I10" s="197"/>
      <c r="J10" s="231"/>
    </row>
    <row r="11" spans="1:10" customFormat="1" ht="21.9" customHeight="1">
      <c r="A11" s="526"/>
      <c r="B11" s="737" t="s">
        <v>214</v>
      </c>
      <c r="C11" s="737" t="s">
        <v>262</v>
      </c>
      <c r="D11" s="357" t="s">
        <v>54</v>
      </c>
      <c r="E11" s="198" t="s">
        <v>78</v>
      </c>
      <c r="F11" s="221">
        <v>2.4900000000000002</v>
      </c>
      <c r="G11" s="888">
        <v>140</v>
      </c>
      <c r="H11" s="178">
        <f t="shared" ref="H11:H20" si="0">ROUND(J11*(1-$B$44),2)</f>
        <v>384.3</v>
      </c>
      <c r="I11" s="197"/>
      <c r="J11" s="355">
        <v>384.3</v>
      </c>
    </row>
    <row r="12" spans="1:10" customFormat="1" ht="21.9" customHeight="1">
      <c r="A12" s="527"/>
      <c r="B12" s="738"/>
      <c r="C12" s="738"/>
      <c r="D12" s="358" t="s">
        <v>222</v>
      </c>
      <c r="E12" s="201" t="s">
        <v>78</v>
      </c>
      <c r="F12" s="134">
        <v>3.32</v>
      </c>
      <c r="G12" s="889"/>
      <c r="H12" s="196">
        <f t="shared" si="0"/>
        <v>466.2</v>
      </c>
      <c r="I12" s="197"/>
      <c r="J12" s="355">
        <v>466.20000000000005</v>
      </c>
    </row>
    <row r="13" spans="1:10" customFormat="1" ht="21.9" customHeight="1">
      <c r="A13" s="527"/>
      <c r="B13" s="739"/>
      <c r="C13" s="739"/>
      <c r="D13" s="359" t="s">
        <v>265</v>
      </c>
      <c r="E13" s="200" t="s">
        <v>78</v>
      </c>
      <c r="F13" s="222">
        <v>4.1500000000000004</v>
      </c>
      <c r="G13" s="890"/>
      <c r="H13" s="186">
        <f t="shared" si="0"/>
        <v>577.5</v>
      </c>
      <c r="I13" s="197"/>
      <c r="J13" s="355">
        <v>577.5</v>
      </c>
    </row>
    <row r="14" spans="1:10" customFormat="1" ht="21.9" customHeight="1">
      <c r="A14" s="527"/>
      <c r="B14" s="783" t="s">
        <v>261</v>
      </c>
      <c r="C14" s="737" t="s">
        <v>262</v>
      </c>
      <c r="D14" s="357" t="s">
        <v>275</v>
      </c>
      <c r="E14" s="198" t="s">
        <v>78</v>
      </c>
      <c r="F14" s="221">
        <v>2.4900000000000002</v>
      </c>
      <c r="G14" s="888">
        <v>140</v>
      </c>
      <c r="H14" s="178">
        <f t="shared" si="0"/>
        <v>460.95</v>
      </c>
      <c r="I14" s="197"/>
      <c r="J14" s="355">
        <v>460.95000000000005</v>
      </c>
    </row>
    <row r="15" spans="1:10" customFormat="1" ht="21.9" customHeight="1">
      <c r="A15" s="527"/>
      <c r="B15" s="784"/>
      <c r="C15" s="738"/>
      <c r="D15" s="360" t="s">
        <v>223</v>
      </c>
      <c r="E15" s="193" t="s">
        <v>78</v>
      </c>
      <c r="F15" s="114">
        <v>3.32</v>
      </c>
      <c r="G15" s="889"/>
      <c r="H15" s="196">
        <f t="shared" si="0"/>
        <v>544.95000000000005</v>
      </c>
      <c r="I15" s="197"/>
      <c r="J15" s="355">
        <v>544.95000000000005</v>
      </c>
    </row>
    <row r="16" spans="1:10" customFormat="1" ht="21.9" customHeight="1">
      <c r="A16" s="527"/>
      <c r="B16" s="784"/>
      <c r="C16" s="739"/>
      <c r="D16" s="359" t="s">
        <v>274</v>
      </c>
      <c r="E16" s="200" t="s">
        <v>78</v>
      </c>
      <c r="F16" s="222">
        <v>4.1500000000000004</v>
      </c>
      <c r="G16" s="890"/>
      <c r="H16" s="186">
        <f t="shared" si="0"/>
        <v>657.3</v>
      </c>
      <c r="I16" s="197"/>
      <c r="J16" s="355">
        <v>657.30000000000007</v>
      </c>
    </row>
    <row r="17" spans="1:10" customFormat="1" ht="21.9" customHeight="1">
      <c r="A17" s="527"/>
      <c r="B17" s="784"/>
      <c r="C17" s="737" t="s">
        <v>389</v>
      </c>
      <c r="D17" s="357" t="s">
        <v>274</v>
      </c>
      <c r="E17" s="481" t="s">
        <v>78</v>
      </c>
      <c r="F17" s="221">
        <v>4.45</v>
      </c>
      <c r="G17" s="888">
        <v>96</v>
      </c>
      <c r="H17" s="178">
        <f t="shared" si="0"/>
        <v>770.7</v>
      </c>
      <c r="I17" s="197"/>
      <c r="J17" s="355">
        <v>770.7</v>
      </c>
    </row>
    <row r="18" spans="1:10" customFormat="1" ht="21.9" customHeight="1">
      <c r="A18" s="527"/>
      <c r="B18" s="784"/>
      <c r="C18" s="739"/>
      <c r="D18" s="359" t="s">
        <v>277</v>
      </c>
      <c r="E18" s="479" t="s">
        <v>78</v>
      </c>
      <c r="F18" s="114">
        <v>5.34</v>
      </c>
      <c r="G18" s="890"/>
      <c r="H18" s="480">
        <f t="shared" si="0"/>
        <v>924</v>
      </c>
      <c r="I18" s="197"/>
      <c r="J18" s="355">
        <v>924</v>
      </c>
    </row>
    <row r="19" spans="1:10" customFormat="1" ht="21.9" customHeight="1">
      <c r="A19" s="527"/>
      <c r="B19" s="784"/>
      <c r="C19" s="876" t="s">
        <v>263</v>
      </c>
      <c r="D19" s="482">
        <v>2</v>
      </c>
      <c r="E19" s="483">
        <v>3</v>
      </c>
      <c r="F19" s="484">
        <v>4.16</v>
      </c>
      <c r="G19" s="886">
        <v>96</v>
      </c>
      <c r="H19" s="485">
        <f t="shared" si="0"/>
        <v>754.95</v>
      </c>
      <c r="I19" s="197"/>
      <c r="J19" s="697">
        <v>754.95</v>
      </c>
    </row>
    <row r="20" spans="1:10" customFormat="1" ht="21.9" customHeight="1">
      <c r="A20" s="528"/>
      <c r="B20" s="875"/>
      <c r="C20" s="877"/>
      <c r="D20" s="486">
        <v>3</v>
      </c>
      <c r="E20" s="487">
        <v>5</v>
      </c>
      <c r="F20" s="488">
        <v>6.24</v>
      </c>
      <c r="G20" s="887"/>
      <c r="H20" s="489">
        <f t="shared" si="0"/>
        <v>1132.95</v>
      </c>
      <c r="I20" s="197"/>
      <c r="J20" s="697">
        <v>1132.95</v>
      </c>
    </row>
    <row r="21" spans="1:10" customFormat="1" ht="24.9" customHeight="1">
      <c r="A21" s="864"/>
      <c r="B21" s="737" t="s">
        <v>228</v>
      </c>
      <c r="C21" s="737" t="s">
        <v>264</v>
      </c>
      <c r="D21" s="873">
        <v>2</v>
      </c>
      <c r="E21" s="224" t="s">
        <v>35</v>
      </c>
      <c r="F21" s="878">
        <v>1.95</v>
      </c>
      <c r="G21" s="753">
        <v>140</v>
      </c>
      <c r="H21" s="186">
        <f t="shared" ref="H21:H25" si="1">ROUND(J21*(1-$B$44),2)</f>
        <v>432.6</v>
      </c>
      <c r="I21" s="197"/>
      <c r="J21" s="697">
        <v>432.6</v>
      </c>
    </row>
    <row r="22" spans="1:10" customFormat="1" ht="35.1" customHeight="1">
      <c r="A22" s="864"/>
      <c r="B22" s="739"/>
      <c r="C22" s="739"/>
      <c r="D22" s="874"/>
      <c r="E22" s="225" t="s">
        <v>232</v>
      </c>
      <c r="F22" s="879"/>
      <c r="G22" s="754"/>
      <c r="H22" s="186">
        <f t="shared" si="1"/>
        <v>458.85</v>
      </c>
      <c r="I22" s="197"/>
      <c r="J22" s="697">
        <v>458.85</v>
      </c>
    </row>
    <row r="23" spans="1:10" customFormat="1" ht="24.9" customHeight="1">
      <c r="A23" s="864"/>
      <c r="B23" s="898" t="s">
        <v>346</v>
      </c>
      <c r="C23" s="898"/>
      <c r="D23" s="806" t="s">
        <v>78</v>
      </c>
      <c r="E23" s="226" t="s">
        <v>209</v>
      </c>
      <c r="F23" s="792">
        <v>7.0000000000000007E-2</v>
      </c>
      <c r="G23" s="749">
        <v>100</v>
      </c>
      <c r="H23" s="880">
        <f t="shared" si="1"/>
        <v>35.700000000000003</v>
      </c>
      <c r="I23" s="197"/>
      <c r="J23" s="355">
        <v>35.700000000000003</v>
      </c>
    </row>
    <row r="24" spans="1:10" customFormat="1" ht="35.1" customHeight="1">
      <c r="A24" s="864"/>
      <c r="B24" s="898"/>
      <c r="C24" s="898"/>
      <c r="D24" s="806"/>
      <c r="E24" s="226" t="s">
        <v>232</v>
      </c>
      <c r="F24" s="792"/>
      <c r="G24" s="749"/>
      <c r="H24" s="880"/>
      <c r="I24" s="197"/>
      <c r="J24" s="698"/>
    </row>
    <row r="25" spans="1:10" customFormat="1" ht="58.5" customHeight="1">
      <c r="A25" s="204"/>
      <c r="B25" s="891" t="s">
        <v>6</v>
      </c>
      <c r="C25" s="892"/>
      <c r="D25" s="191" t="s">
        <v>78</v>
      </c>
      <c r="E25" s="226" t="s">
        <v>232</v>
      </c>
      <c r="F25" s="192">
        <v>0.05</v>
      </c>
      <c r="G25" s="190">
        <v>100</v>
      </c>
      <c r="H25" s="186">
        <f t="shared" si="1"/>
        <v>43.05</v>
      </c>
      <c r="I25" s="197"/>
      <c r="J25" s="699">
        <v>43.050000000000004</v>
      </c>
    </row>
    <row r="26" spans="1:10" customFormat="1" ht="24.9" customHeight="1">
      <c r="A26" s="864"/>
      <c r="B26" s="896" t="s">
        <v>413</v>
      </c>
      <c r="C26" s="896"/>
      <c r="D26" s="897" t="s">
        <v>229</v>
      </c>
      <c r="E26" s="224" t="s">
        <v>209</v>
      </c>
      <c r="F26" s="792">
        <v>0.1</v>
      </c>
      <c r="G26" s="881">
        <v>100</v>
      </c>
      <c r="H26" s="880">
        <f>ROUND(J26*(1-$B$44),2)</f>
        <v>52.5</v>
      </c>
      <c r="I26" s="197"/>
      <c r="J26" s="699">
        <v>52.5</v>
      </c>
    </row>
    <row r="27" spans="1:10" customFormat="1" ht="35.1" customHeight="1">
      <c r="A27" s="864"/>
      <c r="B27" s="896"/>
      <c r="C27" s="896"/>
      <c r="D27" s="897"/>
      <c r="E27" s="224" t="s">
        <v>232</v>
      </c>
      <c r="F27" s="792"/>
      <c r="G27" s="881"/>
      <c r="H27" s="880"/>
      <c r="I27" s="197"/>
      <c r="J27" s="174"/>
    </row>
    <row r="28" spans="1:10" customFormat="1" ht="48" customHeight="1">
      <c r="A28" s="882" t="s">
        <v>290</v>
      </c>
      <c r="B28" s="882"/>
      <c r="C28" s="882"/>
      <c r="D28" s="885" t="s">
        <v>270</v>
      </c>
      <c r="E28" s="885"/>
      <c r="F28" s="885"/>
      <c r="G28" s="885"/>
      <c r="H28" s="885"/>
      <c r="I28" s="299"/>
      <c r="J28" s="227"/>
    </row>
    <row r="29" spans="1:10" customFormat="1" ht="62.25" customHeight="1">
      <c r="A29" s="883" t="s">
        <v>291</v>
      </c>
      <c r="B29" s="883"/>
      <c r="C29" s="883"/>
      <c r="D29" s="883" t="s">
        <v>289</v>
      </c>
      <c r="E29" s="883"/>
      <c r="F29" s="883"/>
      <c r="G29" s="883"/>
      <c r="H29" s="883"/>
      <c r="I29" s="299"/>
      <c r="J29" s="227"/>
    </row>
    <row r="30" spans="1:10" ht="49.5" customHeight="1" thickBot="1">
      <c r="A30" s="883" t="s">
        <v>551</v>
      </c>
      <c r="B30" s="883"/>
      <c r="C30" s="883"/>
      <c r="D30" s="884" t="s">
        <v>531</v>
      </c>
      <c r="E30" s="884"/>
      <c r="F30" s="884"/>
      <c r="G30" s="884"/>
      <c r="H30" s="884"/>
      <c r="I30" s="300"/>
    </row>
    <row r="31" spans="1:10" ht="78" customHeight="1" thickBot="1">
      <c r="A31" s="893" t="s">
        <v>414</v>
      </c>
      <c r="B31" s="894"/>
      <c r="C31" s="894"/>
      <c r="D31" s="894"/>
      <c r="E31" s="894"/>
      <c r="F31" s="894"/>
      <c r="G31" s="894"/>
      <c r="H31" s="895"/>
      <c r="I31" s="68"/>
    </row>
    <row r="32" spans="1:10" ht="78" customHeight="1">
      <c r="A32" s="298"/>
      <c r="B32" s="298"/>
      <c r="C32" s="298"/>
      <c r="D32" s="298"/>
      <c r="E32" s="298"/>
      <c r="F32" s="298"/>
      <c r="G32" s="298"/>
      <c r="H32" s="298"/>
      <c r="I32" s="68"/>
    </row>
    <row r="33" spans="1:10" ht="78" customHeight="1">
      <c r="A33" s="298"/>
      <c r="B33" s="298"/>
      <c r="C33" s="298"/>
      <c r="D33" s="298"/>
      <c r="E33" s="298"/>
      <c r="F33" s="298"/>
      <c r="G33" s="298"/>
      <c r="H33" s="298"/>
      <c r="I33" s="68"/>
    </row>
    <row r="34" spans="1:10" ht="78" customHeight="1">
      <c r="A34" s="298"/>
      <c r="B34" s="298"/>
      <c r="C34" s="298"/>
      <c r="D34" s="298"/>
      <c r="E34" s="298"/>
      <c r="F34" s="298"/>
      <c r="G34" s="298"/>
      <c r="H34" s="298"/>
      <c r="I34" s="68"/>
    </row>
    <row r="35" spans="1:10" ht="78" customHeight="1">
      <c r="A35" s="298"/>
      <c r="B35" s="298"/>
      <c r="C35" s="298"/>
      <c r="D35" s="298"/>
      <c r="E35" s="298"/>
      <c r="F35" s="298"/>
      <c r="G35" s="298"/>
      <c r="H35" s="298"/>
      <c r="I35" s="68"/>
    </row>
    <row r="36" spans="1:10" ht="78" customHeight="1">
      <c r="A36" s="298"/>
      <c r="B36" s="298"/>
      <c r="C36" s="298"/>
      <c r="D36" s="298"/>
      <c r="E36" s="298"/>
      <c r="F36" s="298"/>
      <c r="G36" s="298"/>
      <c r="H36" s="298"/>
      <c r="I36" s="68"/>
    </row>
    <row r="37" spans="1:10" ht="78" customHeight="1">
      <c r="A37" s="298"/>
      <c r="B37" s="298"/>
      <c r="C37" s="298"/>
      <c r="D37" s="298"/>
      <c r="E37" s="298"/>
      <c r="F37" s="298"/>
      <c r="G37" s="298"/>
      <c r="H37" s="298"/>
      <c r="I37" s="68"/>
    </row>
    <row r="38" spans="1:10" ht="78" customHeight="1">
      <c r="A38" s="298"/>
      <c r="B38" s="298"/>
      <c r="C38" s="298"/>
      <c r="D38" s="298"/>
      <c r="E38" s="298"/>
      <c r="F38" s="298"/>
      <c r="G38" s="298"/>
      <c r="H38" s="298"/>
      <c r="I38" s="68"/>
    </row>
    <row r="39" spans="1:10" ht="49.5" customHeight="1">
      <c r="A39" s="259"/>
      <c r="B39" s="259"/>
      <c r="C39" s="259"/>
      <c r="D39" s="259"/>
      <c r="E39" s="258"/>
      <c r="F39" s="258"/>
      <c r="G39" s="258"/>
      <c r="H39" s="258"/>
      <c r="I39" s="68"/>
    </row>
    <row r="40" spans="1:10" ht="49.5" customHeight="1">
      <c r="A40" s="259"/>
      <c r="B40" s="259"/>
      <c r="C40" s="259"/>
      <c r="D40" s="259"/>
      <c r="E40" s="258"/>
      <c r="F40" s="258"/>
      <c r="G40" s="258"/>
      <c r="H40" s="258"/>
      <c r="I40" s="68"/>
    </row>
    <row r="41" spans="1:10" ht="49.5" customHeight="1">
      <c r="A41" s="259"/>
      <c r="B41" s="259"/>
      <c r="C41" s="259"/>
      <c r="D41" s="259"/>
      <c r="E41" s="258"/>
      <c r="F41" s="258"/>
      <c r="G41" s="258"/>
      <c r="H41" s="258"/>
      <c r="I41" s="68"/>
    </row>
    <row r="42" spans="1:10" ht="49.5" customHeight="1">
      <c r="A42" s="302"/>
      <c r="B42" s="302"/>
      <c r="C42" s="302"/>
      <c r="D42" s="302"/>
      <c r="E42" s="301"/>
      <c r="F42" s="301"/>
      <c r="G42" s="301"/>
      <c r="H42" s="301"/>
      <c r="I42" s="68"/>
    </row>
    <row r="43" spans="1:10" ht="20.399999999999999">
      <c r="B43" s="9"/>
      <c r="C43" s="9"/>
      <c r="D43" s="9"/>
      <c r="E43" s="9"/>
      <c r="F43" s="9"/>
      <c r="G43" s="9"/>
      <c r="H43" s="9"/>
      <c r="I43" s="1"/>
    </row>
    <row r="44" spans="1:10" ht="61.5" customHeight="1">
      <c r="A44" s="232" t="s">
        <v>33</v>
      </c>
      <c r="B44" s="734">
        <v>0</v>
      </c>
      <c r="C44" s="735"/>
      <c r="D44" s="736"/>
      <c r="E44" s="9"/>
      <c r="F44" s="9"/>
      <c r="G44" s="9"/>
      <c r="I44" s="175"/>
      <c r="J44" s="8"/>
    </row>
    <row r="45" spans="1:10" ht="20.399999999999999">
      <c r="B45" s="25"/>
      <c r="C45" s="25"/>
      <c r="D45" s="25"/>
      <c r="E45" s="25"/>
      <c r="F45" s="25"/>
      <c r="G45" s="25"/>
      <c r="H45" s="25"/>
      <c r="I45" s="1"/>
    </row>
    <row r="46" spans="1:10" ht="20.399999999999999">
      <c r="B46" s="25"/>
      <c r="C46" s="25"/>
      <c r="D46" s="25"/>
      <c r="E46" s="25"/>
      <c r="F46" s="25"/>
      <c r="G46" s="25"/>
      <c r="H46" s="25"/>
      <c r="I46" s="1"/>
    </row>
    <row r="47" spans="1:10" ht="20.399999999999999">
      <c r="B47" s="25"/>
      <c r="C47" s="25"/>
      <c r="D47" s="25"/>
      <c r="E47" s="25"/>
      <c r="F47" s="25"/>
      <c r="G47" s="25"/>
      <c r="H47" s="25"/>
      <c r="I47" s="1"/>
    </row>
    <row r="48" spans="1:10" ht="20.399999999999999">
      <c r="B48" s="25"/>
      <c r="C48" s="25"/>
      <c r="D48" s="25"/>
      <c r="E48" s="25"/>
      <c r="F48" s="25"/>
      <c r="G48" s="25"/>
      <c r="H48" s="25"/>
      <c r="I48" s="1"/>
    </row>
    <row r="49" spans="2:9" ht="20.399999999999999">
      <c r="B49" s="29"/>
      <c r="C49" s="29"/>
      <c r="D49" s="29"/>
      <c r="E49" s="29"/>
      <c r="F49" s="29"/>
      <c r="G49" s="29"/>
      <c r="H49" s="29"/>
      <c r="I49" s="1"/>
    </row>
    <row r="50" spans="2:9">
      <c r="B50" s="5"/>
      <c r="C50" s="4"/>
      <c r="D50" s="4"/>
      <c r="E50" s="4"/>
      <c r="F50" s="4"/>
      <c r="G50" s="4"/>
      <c r="H50" s="4"/>
      <c r="I50" s="1"/>
    </row>
    <row r="51" spans="2:9">
      <c r="B51" s="5"/>
      <c r="C51" s="4"/>
      <c r="D51" s="4"/>
      <c r="E51" s="4"/>
      <c r="F51" s="4"/>
      <c r="G51" s="4"/>
      <c r="H51" s="4"/>
      <c r="I51" s="1"/>
    </row>
    <row r="52" spans="2:9">
      <c r="B52" s="7"/>
      <c r="C52" s="3"/>
      <c r="D52" s="3"/>
      <c r="E52" s="3"/>
      <c r="F52" s="3"/>
      <c r="G52" s="3"/>
      <c r="H52" s="3"/>
      <c r="I52" s="1"/>
    </row>
    <row r="53" spans="2:9">
      <c r="B53" s="7"/>
      <c r="C53" s="3"/>
      <c r="D53" s="3"/>
      <c r="E53" s="3"/>
      <c r="F53" s="3"/>
      <c r="G53" s="3"/>
      <c r="H53" s="3"/>
      <c r="I53" s="1"/>
    </row>
    <row r="54" spans="2:9">
      <c r="B54" s="2"/>
      <c r="I54" s="1"/>
    </row>
    <row r="55" spans="2:9">
      <c r="B55" s="2"/>
      <c r="I55" s="1"/>
    </row>
    <row r="56" spans="2:9">
      <c r="B56" s="2"/>
      <c r="I56" s="1"/>
    </row>
    <row r="57" spans="2:9">
      <c r="B57" s="2"/>
      <c r="I57" s="1"/>
    </row>
    <row r="58" spans="2:9">
      <c r="B58" s="2"/>
      <c r="I58" s="1"/>
    </row>
    <row r="59" spans="2:9">
      <c r="B59" s="2"/>
      <c r="I59" s="1"/>
    </row>
    <row r="60" spans="2:9">
      <c r="B60" s="2"/>
      <c r="I60" s="1"/>
    </row>
    <row r="61" spans="2:9">
      <c r="I61" s="1"/>
    </row>
    <row r="62" spans="2:9">
      <c r="I62" s="1"/>
    </row>
    <row r="63" spans="2:9">
      <c r="I63" s="1"/>
    </row>
    <row r="64" spans="2:9">
      <c r="I64" s="1"/>
    </row>
    <row r="65" spans="9:9">
      <c r="I65" s="1"/>
    </row>
    <row r="66" spans="9:9">
      <c r="I66" s="1"/>
    </row>
  </sheetData>
  <sheetProtection formatCells="0" formatColumns="0" formatRows="0" insertColumns="0" insertRows="0" insertHyperlinks="0" deleteColumns="0" deleteRows="0" sort="0" autoFilter="0" pivotTables="0"/>
  <mergeCells count="50">
    <mergeCell ref="G11:G13"/>
    <mergeCell ref="F23:F24"/>
    <mergeCell ref="B25:C25"/>
    <mergeCell ref="A31:H31"/>
    <mergeCell ref="A26:A27"/>
    <mergeCell ref="A23:A24"/>
    <mergeCell ref="A21:A22"/>
    <mergeCell ref="G14:G16"/>
    <mergeCell ref="G17:G18"/>
    <mergeCell ref="B26:C27"/>
    <mergeCell ref="D26:D27"/>
    <mergeCell ref="B23:C24"/>
    <mergeCell ref="D23:D24"/>
    <mergeCell ref="B44:D44"/>
    <mergeCell ref="C14:C16"/>
    <mergeCell ref="F21:F22"/>
    <mergeCell ref="H23:H24"/>
    <mergeCell ref="G26:G27"/>
    <mergeCell ref="H26:H27"/>
    <mergeCell ref="G23:G24"/>
    <mergeCell ref="F26:F27"/>
    <mergeCell ref="A28:C28"/>
    <mergeCell ref="A29:C29"/>
    <mergeCell ref="A30:C30"/>
    <mergeCell ref="D29:H29"/>
    <mergeCell ref="D30:H30"/>
    <mergeCell ref="D28:H28"/>
    <mergeCell ref="G21:G22"/>
    <mergeCell ref="G19:G20"/>
    <mergeCell ref="B10:C10"/>
    <mergeCell ref="B21:B22"/>
    <mergeCell ref="C21:C22"/>
    <mergeCell ref="D21:D22"/>
    <mergeCell ref="B11:B13"/>
    <mergeCell ref="C11:C13"/>
    <mergeCell ref="C17:C18"/>
    <mergeCell ref="B14:B20"/>
    <mergeCell ref="C19:C20"/>
    <mergeCell ref="H1:I1"/>
    <mergeCell ref="A2:H2"/>
    <mergeCell ref="H3:H4"/>
    <mergeCell ref="A9:H9"/>
    <mergeCell ref="G3:G4"/>
    <mergeCell ref="B3:C4"/>
    <mergeCell ref="A3:A4"/>
    <mergeCell ref="D3:D4"/>
    <mergeCell ref="E3:E4"/>
    <mergeCell ref="F3:F4"/>
    <mergeCell ref="A5:A7"/>
    <mergeCell ref="B5:C7"/>
  </mergeCells>
  <printOptions horizontalCentered="1"/>
  <pageMargins left="0" right="0" top="0" bottom="0" header="0" footer="0"/>
  <pageSetup paperSize="9" scale="45" fitToHeight="0" orientation="portrait" r:id="rId1"/>
  <headerFooter scaleWithDoc="0">
    <oddFooter>&amp;R&amp;"Arial Cyr,полужирный"&amp;8стр. &amp;P из &amp;N &amp;"Arial Cyr,обычный"&amp;A</oddFooter>
  </headerFooter>
  <colBreaks count="1" manualBreakCount="1">
    <brk id="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80"/>
  <sheetViews>
    <sheetView showGridLines="0" zoomScale="55" zoomScaleNormal="55" zoomScaleSheetLayoutView="55" zoomScalePageLayoutView="55" workbookViewId="0">
      <selection activeCell="T3" sqref="T3"/>
    </sheetView>
  </sheetViews>
  <sheetFormatPr defaultColWidth="9.109375" defaultRowHeight="13.2"/>
  <cols>
    <col min="1" max="1" width="24.6640625" style="1" customWidth="1"/>
    <col min="2" max="2" width="27.88671875" style="1" customWidth="1"/>
    <col min="3" max="3" width="26.88671875" style="1" customWidth="1"/>
    <col min="4" max="4" width="25.6640625" style="1" customWidth="1"/>
    <col min="5" max="6" width="15.33203125" style="1" customWidth="1"/>
    <col min="7" max="7" width="23" style="6" customWidth="1"/>
    <col min="8" max="8" width="19.109375" style="1" customWidth="1"/>
    <col min="9" max="16" width="8.88671875" style="1" customWidth="1"/>
    <col min="17" max="17" width="11.6640625" style="1" hidden="1" customWidth="1"/>
    <col min="18" max="16384" width="9.109375" style="1"/>
  </cols>
  <sheetData>
    <row r="1" spans="1:18" ht="75.75" customHeight="1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</row>
    <row r="2" spans="1:18" ht="33" customHeight="1">
      <c r="A2" s="9"/>
      <c r="B2" s="9"/>
      <c r="C2" s="9"/>
      <c r="D2" s="745" t="s">
        <v>252</v>
      </c>
      <c r="E2" s="745"/>
      <c r="F2" s="745"/>
      <c r="G2" s="745"/>
      <c r="H2" s="745"/>
      <c r="K2" s="104"/>
      <c r="L2" s="104"/>
      <c r="M2" s="104"/>
      <c r="N2" s="312" t="s">
        <v>225</v>
      </c>
      <c r="O2" s="755">
        <v>42989</v>
      </c>
      <c r="P2" s="755"/>
      <c r="Q2" s="9"/>
    </row>
    <row r="3" spans="1:18" ht="81" customHeight="1">
      <c r="A3" s="1502" t="s">
        <v>147</v>
      </c>
      <c r="B3" s="1502" t="s">
        <v>136</v>
      </c>
      <c r="C3" s="1502" t="s">
        <v>188</v>
      </c>
      <c r="D3" s="1502" t="s">
        <v>13</v>
      </c>
      <c r="E3" s="1502"/>
      <c r="F3" s="1502"/>
      <c r="G3" s="1502"/>
      <c r="H3" s="1502"/>
      <c r="I3" s="1502" t="s">
        <v>55</v>
      </c>
      <c r="J3" s="1502"/>
      <c r="K3" s="1502"/>
      <c r="L3" s="1502"/>
      <c r="M3" s="1502"/>
      <c r="N3" s="1502"/>
      <c r="O3" s="1502"/>
      <c r="P3" s="1502"/>
      <c r="Q3" s="9"/>
    </row>
    <row r="4" spans="1:18" ht="20.25" customHeight="1">
      <c r="A4" s="1502"/>
      <c r="B4" s="1502"/>
      <c r="C4" s="1502"/>
      <c r="D4" s="1502"/>
      <c r="E4" s="1502"/>
      <c r="F4" s="1502"/>
      <c r="G4" s="1502"/>
      <c r="H4" s="1502"/>
      <c r="I4" s="1502" t="s">
        <v>162</v>
      </c>
      <c r="J4" s="1502"/>
      <c r="K4" s="1502"/>
      <c r="L4" s="1502"/>
      <c r="M4" s="1502"/>
      <c r="N4" s="1502"/>
      <c r="O4" s="1502"/>
      <c r="P4" s="1502"/>
      <c r="Q4" s="9"/>
    </row>
    <row r="5" spans="1:18" ht="21.6" customHeight="1">
      <c r="A5" s="939"/>
      <c r="B5" s="940" t="s">
        <v>12</v>
      </c>
      <c r="C5" s="941">
        <v>2</v>
      </c>
      <c r="D5" s="944" t="s">
        <v>249</v>
      </c>
      <c r="E5" s="944"/>
      <c r="F5" s="944"/>
      <c r="G5" s="944"/>
      <c r="H5" s="944"/>
      <c r="I5" s="945" t="s">
        <v>122</v>
      </c>
      <c r="J5" s="946"/>
      <c r="K5" s="946"/>
      <c r="L5" s="946"/>
      <c r="M5" s="946" t="s">
        <v>123</v>
      </c>
      <c r="N5" s="946"/>
      <c r="O5" s="946"/>
      <c r="P5" s="947"/>
      <c r="Q5" s="9"/>
    </row>
    <row r="6" spans="1:18" ht="21.6" customHeight="1">
      <c r="A6" s="939"/>
      <c r="B6" s="940"/>
      <c r="C6" s="942"/>
      <c r="D6" s="944"/>
      <c r="E6" s="944"/>
      <c r="F6" s="944"/>
      <c r="G6" s="944"/>
      <c r="H6" s="944"/>
      <c r="I6" s="948" t="s">
        <v>121</v>
      </c>
      <c r="J6" s="949"/>
      <c r="K6" s="949"/>
      <c r="L6" s="949"/>
      <c r="M6" s="949"/>
      <c r="N6" s="949"/>
      <c r="O6" s="949"/>
      <c r="P6" s="950"/>
      <c r="Q6" s="9"/>
    </row>
    <row r="7" spans="1:18" ht="21.6" customHeight="1">
      <c r="A7" s="939"/>
      <c r="B7" s="940"/>
      <c r="C7" s="942"/>
      <c r="D7" s="944"/>
      <c r="E7" s="944"/>
      <c r="F7" s="944"/>
      <c r="G7" s="944"/>
      <c r="H7" s="944"/>
      <c r="I7" s="951">
        <v>2500</v>
      </c>
      <c r="J7" s="900"/>
      <c r="K7" s="899">
        <v>3000</v>
      </c>
      <c r="L7" s="900"/>
      <c r="M7" s="899">
        <v>2500</v>
      </c>
      <c r="N7" s="900"/>
      <c r="O7" s="899">
        <v>3000</v>
      </c>
      <c r="P7" s="921"/>
      <c r="Q7" s="9"/>
    </row>
    <row r="8" spans="1:18" ht="65.099999999999994" customHeight="1">
      <c r="A8" s="939"/>
      <c r="B8" s="940"/>
      <c r="C8" s="943"/>
      <c r="D8" s="944"/>
      <c r="E8" s="944"/>
      <c r="F8" s="944"/>
      <c r="G8" s="944"/>
      <c r="H8" s="944"/>
      <c r="I8" s="916">
        <f>(I23*2+I29+I41*2+I51*44)/2.5</f>
        <v>645.96</v>
      </c>
      <c r="J8" s="922"/>
      <c r="K8" s="919">
        <f>(I23*2+I31+I41*2+I51*44)/2.5</f>
        <v>702.24</v>
      </c>
      <c r="L8" s="923"/>
      <c r="M8" s="919">
        <f>(I25*2+I30+I42*2+I51*44)/2.5</f>
        <v>936.18000000000006</v>
      </c>
      <c r="N8" s="922"/>
      <c r="O8" s="919">
        <f>(I25*2+I32+I42*2+I51*44)/2.5</f>
        <v>1018.0800000000002</v>
      </c>
      <c r="P8" s="924"/>
      <c r="Q8" s="9"/>
    </row>
    <row r="9" spans="1:18" ht="20.25" customHeight="1">
      <c r="A9" s="925"/>
      <c r="B9" s="926"/>
      <c r="C9" s="926"/>
      <c r="D9" s="926"/>
      <c r="E9" s="926"/>
      <c r="F9" s="926"/>
      <c r="G9" s="926"/>
      <c r="H9" s="927"/>
      <c r="I9" s="931" t="s">
        <v>121</v>
      </c>
      <c r="J9" s="932"/>
      <c r="K9" s="932"/>
      <c r="L9" s="932"/>
      <c r="M9" s="932"/>
      <c r="N9" s="932"/>
      <c r="O9" s="932"/>
      <c r="P9" s="933"/>
      <c r="Q9" s="9"/>
    </row>
    <row r="10" spans="1:18" ht="20.399999999999999">
      <c r="A10" s="928"/>
      <c r="B10" s="929"/>
      <c r="C10" s="929"/>
      <c r="D10" s="929"/>
      <c r="E10" s="929"/>
      <c r="F10" s="929"/>
      <c r="G10" s="929"/>
      <c r="H10" s="930"/>
      <c r="I10" s="934">
        <v>2500</v>
      </c>
      <c r="J10" s="935"/>
      <c r="K10" s="935"/>
      <c r="L10" s="936"/>
      <c r="M10" s="937">
        <v>3000</v>
      </c>
      <c r="N10" s="935"/>
      <c r="O10" s="935"/>
      <c r="P10" s="938"/>
      <c r="Q10" s="9"/>
    </row>
    <row r="11" spans="1:18" ht="65.099999999999994" customHeight="1">
      <c r="A11" s="902"/>
      <c r="B11" s="904" t="s">
        <v>11</v>
      </c>
      <c r="C11" s="541">
        <v>1.65</v>
      </c>
      <c r="D11" s="905" t="s">
        <v>14</v>
      </c>
      <c r="E11" s="906"/>
      <c r="F11" s="906"/>
      <c r="G11" s="906"/>
      <c r="H11" s="907"/>
      <c r="I11" s="911">
        <f>(I21*3+I30+I37*2+I43*2+I51*26)/2.5</f>
        <v>1922.7600000000002</v>
      </c>
      <c r="J11" s="912"/>
      <c r="K11" s="912"/>
      <c r="L11" s="913"/>
      <c r="M11" s="914">
        <f>(I21*3+I32+I37*2+I43*2+I51*26)/2.5</f>
        <v>2004.6600000000003</v>
      </c>
      <c r="N11" s="912"/>
      <c r="O11" s="912"/>
      <c r="P11" s="915"/>
      <c r="Q11" s="9"/>
    </row>
    <row r="12" spans="1:18" ht="65.099999999999994" customHeight="1">
      <c r="A12" s="903"/>
      <c r="B12" s="903"/>
      <c r="C12" s="542">
        <v>2</v>
      </c>
      <c r="D12" s="908"/>
      <c r="E12" s="909"/>
      <c r="F12" s="909"/>
      <c r="G12" s="909"/>
      <c r="H12" s="910"/>
      <c r="I12" s="916">
        <f>(I22*3+I30+I37*2+I43*2+I51*26)/2.5</f>
        <v>2143.2600000000002</v>
      </c>
      <c r="J12" s="917"/>
      <c r="K12" s="917"/>
      <c r="L12" s="918"/>
      <c r="M12" s="919">
        <f>(I22*3+I32+I37*2+I43*2+I51*26)/2.5</f>
        <v>2225.1600000000003</v>
      </c>
      <c r="N12" s="917"/>
      <c r="O12" s="917"/>
      <c r="P12" s="920"/>
      <c r="Q12" s="9"/>
      <c r="R12" s="99"/>
    </row>
    <row r="13" spans="1:18" ht="21">
      <c r="A13" s="964"/>
      <c r="B13" s="964"/>
      <c r="C13" s="964"/>
      <c r="D13" s="964"/>
      <c r="E13" s="964"/>
      <c r="F13" s="964"/>
      <c r="G13" s="964"/>
      <c r="H13" s="964"/>
      <c r="I13" s="965" t="s">
        <v>168</v>
      </c>
      <c r="J13" s="965"/>
      <c r="K13" s="965"/>
      <c r="L13" s="965"/>
      <c r="M13" s="965"/>
      <c r="N13" s="965"/>
      <c r="O13" s="965"/>
      <c r="P13" s="966"/>
      <c r="Q13" s="9"/>
    </row>
    <row r="14" spans="1:18" ht="20.399999999999999">
      <c r="A14" s="964"/>
      <c r="B14" s="964"/>
      <c r="C14" s="964"/>
      <c r="D14" s="964"/>
      <c r="E14" s="964"/>
      <c r="F14" s="964"/>
      <c r="G14" s="964"/>
      <c r="H14" s="964"/>
      <c r="I14" s="967">
        <v>2500</v>
      </c>
      <c r="J14" s="967"/>
      <c r="K14" s="967"/>
      <c r="L14" s="968"/>
      <c r="M14" s="969">
        <v>3000</v>
      </c>
      <c r="N14" s="967"/>
      <c r="O14" s="967"/>
      <c r="P14" s="970"/>
      <c r="Q14" s="9"/>
    </row>
    <row r="15" spans="1:18" ht="65.099999999999994" customHeight="1">
      <c r="A15" s="971"/>
      <c r="B15" s="972" t="s">
        <v>10</v>
      </c>
      <c r="C15" s="39">
        <v>1.65</v>
      </c>
      <c r="D15" s="973" t="s">
        <v>250</v>
      </c>
      <c r="E15" s="973"/>
      <c r="F15" s="973"/>
      <c r="G15" s="973"/>
      <c r="H15" s="973"/>
      <c r="I15" s="911">
        <f>(I21*3+I37*2+I39*2+I44+I51*27)/2.5</f>
        <v>1889.1600000000003</v>
      </c>
      <c r="J15" s="962"/>
      <c r="K15" s="962"/>
      <c r="L15" s="962"/>
      <c r="M15" s="914">
        <f>(I21*3+I37*2+I40*2+I44+I51*27)/2.5</f>
        <v>1976.52</v>
      </c>
      <c r="N15" s="962"/>
      <c r="O15" s="962"/>
      <c r="P15" s="963"/>
      <c r="Q15" s="9"/>
    </row>
    <row r="16" spans="1:18" ht="65.099999999999994" customHeight="1">
      <c r="A16" s="971"/>
      <c r="B16" s="972"/>
      <c r="C16" s="98">
        <v>2</v>
      </c>
      <c r="D16" s="973"/>
      <c r="E16" s="973"/>
      <c r="F16" s="973"/>
      <c r="G16" s="973"/>
      <c r="H16" s="973"/>
      <c r="I16" s="916">
        <f>(I22*3+I37*2+I39*2+I44+I51*27)/2.5</f>
        <v>2109.6600000000003</v>
      </c>
      <c r="J16" s="922"/>
      <c r="K16" s="922"/>
      <c r="L16" s="922"/>
      <c r="M16" s="919">
        <f>(I22*3+I37*2+I40*2+I44+I51*27)/2.5</f>
        <v>2197.02</v>
      </c>
      <c r="N16" s="922"/>
      <c r="O16" s="922"/>
      <c r="P16" s="924"/>
      <c r="Q16" s="9"/>
    </row>
    <row r="17" spans="1:18" ht="65.099999999999994" customHeight="1">
      <c r="A17" s="952"/>
      <c r="B17" s="954" t="s">
        <v>9</v>
      </c>
      <c r="C17" s="170">
        <v>2</v>
      </c>
      <c r="D17" s="956" t="s">
        <v>15</v>
      </c>
      <c r="E17" s="957"/>
      <c r="F17" s="957"/>
      <c r="G17" s="957"/>
      <c r="H17" s="958"/>
      <c r="I17" s="911">
        <f>(I21*3+I37*3+I38+I39*2+I44+I51*33)/2.5</f>
        <v>2540.5800000000004</v>
      </c>
      <c r="J17" s="962"/>
      <c r="K17" s="962"/>
      <c r="L17" s="962"/>
      <c r="M17" s="914">
        <f>(I21*3+I37*3+I38+I40*2+I44+I51*36)/2.5</f>
        <v>2632.9800000000005</v>
      </c>
      <c r="N17" s="962"/>
      <c r="O17" s="962"/>
      <c r="P17" s="963"/>
      <c r="Q17" s="9"/>
    </row>
    <row r="18" spans="1:18" ht="65.099999999999994" customHeight="1">
      <c r="A18" s="953"/>
      <c r="B18" s="955"/>
      <c r="C18" s="171">
        <v>2.4</v>
      </c>
      <c r="D18" s="959"/>
      <c r="E18" s="960"/>
      <c r="F18" s="960"/>
      <c r="G18" s="960"/>
      <c r="H18" s="961"/>
      <c r="I18" s="916">
        <f>(I22*3+I37*3+I38+I32+I39*2+I47*2+I51*39)/2.5</f>
        <v>3267.1800000000007</v>
      </c>
      <c r="J18" s="922"/>
      <c r="K18" s="922"/>
      <c r="L18" s="922"/>
      <c r="M18" s="919">
        <f>(I22*3+I37*3+I38+I32+I40*2+I47*2+I51*43)/2.5</f>
        <v>3361.2600000000007</v>
      </c>
      <c r="N18" s="922"/>
      <c r="O18" s="922"/>
      <c r="P18" s="924"/>
      <c r="Q18" s="9"/>
    </row>
    <row r="19" spans="1:18" ht="28.2">
      <c r="A19" s="974" t="s">
        <v>276</v>
      </c>
      <c r="B19" s="974"/>
      <c r="C19" s="974"/>
      <c r="D19" s="974"/>
      <c r="E19" s="974"/>
      <c r="F19" s="974"/>
      <c r="G19" s="974"/>
      <c r="H19" s="974"/>
      <c r="I19" s="974"/>
      <c r="J19" s="974"/>
      <c r="K19" s="974"/>
      <c r="L19" s="974"/>
      <c r="M19" s="974"/>
      <c r="N19" s="974"/>
      <c r="O19" s="974"/>
      <c r="P19" s="974"/>
      <c r="Q19" s="9"/>
    </row>
    <row r="20" spans="1:18" ht="55.5" customHeight="1">
      <c r="A20" s="530" t="s">
        <v>147</v>
      </c>
      <c r="B20" s="975" t="s">
        <v>136</v>
      </c>
      <c r="C20" s="975"/>
      <c r="D20" s="530" t="s">
        <v>189</v>
      </c>
      <c r="E20" s="530" t="s">
        <v>190</v>
      </c>
      <c r="F20" s="530" t="s">
        <v>60</v>
      </c>
      <c r="G20" s="530" t="s">
        <v>94</v>
      </c>
      <c r="H20" s="530" t="s">
        <v>191</v>
      </c>
      <c r="I20" s="975" t="s">
        <v>192</v>
      </c>
      <c r="J20" s="975"/>
      <c r="K20" s="975"/>
      <c r="L20" s="975"/>
      <c r="M20" s="975"/>
      <c r="N20" s="975"/>
      <c r="O20" s="975"/>
      <c r="P20" s="975"/>
      <c r="Q20" s="153" t="s">
        <v>44</v>
      </c>
    </row>
    <row r="21" spans="1:18" ht="20.399999999999999">
      <c r="A21" s="976"/>
      <c r="B21" s="972" t="s">
        <v>143</v>
      </c>
      <c r="C21" s="972"/>
      <c r="D21" s="20" t="s">
        <v>95</v>
      </c>
      <c r="E21" s="977">
        <v>100</v>
      </c>
      <c r="F21" s="538">
        <v>5.9</v>
      </c>
      <c r="G21" s="979" t="s">
        <v>76</v>
      </c>
      <c r="H21" s="981">
        <v>0.5</v>
      </c>
      <c r="I21" s="983">
        <f t="shared" ref="I21:I48" si="0">ROUND(Q21*(1-$B$66),2)</f>
        <v>796.95</v>
      </c>
      <c r="J21" s="983"/>
      <c r="K21" s="983"/>
      <c r="L21" s="983"/>
      <c r="M21" s="983"/>
      <c r="N21" s="983"/>
      <c r="O21" s="983"/>
      <c r="P21" s="983"/>
      <c r="Q21" s="162">
        <v>796.95</v>
      </c>
      <c r="R21" s="700"/>
    </row>
    <row r="22" spans="1:18" ht="20.399999999999999">
      <c r="A22" s="976"/>
      <c r="B22" s="972"/>
      <c r="C22" s="972"/>
      <c r="D22" s="21" t="s">
        <v>114</v>
      </c>
      <c r="E22" s="978"/>
      <c r="F22" s="539">
        <v>7.3</v>
      </c>
      <c r="G22" s="980"/>
      <c r="H22" s="982"/>
      <c r="I22" s="984">
        <f t="shared" si="0"/>
        <v>980.7</v>
      </c>
      <c r="J22" s="984"/>
      <c r="K22" s="984"/>
      <c r="L22" s="984"/>
      <c r="M22" s="984"/>
      <c r="N22" s="984"/>
      <c r="O22" s="984"/>
      <c r="P22" s="984"/>
      <c r="Q22" s="162">
        <v>980.7</v>
      </c>
      <c r="R22" s="700"/>
    </row>
    <row r="23" spans="1:18" ht="20.399999999999999">
      <c r="A23" s="976"/>
      <c r="B23" s="972" t="s">
        <v>115</v>
      </c>
      <c r="C23" s="972"/>
      <c r="D23" s="20" t="s">
        <v>116</v>
      </c>
      <c r="E23" s="977">
        <v>180</v>
      </c>
      <c r="F23" s="538">
        <v>2.4500000000000002</v>
      </c>
      <c r="G23" s="985" t="s">
        <v>117</v>
      </c>
      <c r="H23" s="986">
        <v>1</v>
      </c>
      <c r="I23" s="987">
        <f t="shared" si="0"/>
        <v>313.95</v>
      </c>
      <c r="J23" s="988"/>
      <c r="K23" s="988"/>
      <c r="L23" s="988"/>
      <c r="M23" s="988"/>
      <c r="N23" s="988"/>
      <c r="O23" s="988"/>
      <c r="P23" s="989"/>
      <c r="Q23" s="162">
        <v>313.95</v>
      </c>
      <c r="R23" s="700"/>
    </row>
    <row r="24" spans="1:18" ht="20.399999999999999">
      <c r="A24" s="976"/>
      <c r="B24" s="972"/>
      <c r="C24" s="972"/>
      <c r="D24" s="21" t="s">
        <v>118</v>
      </c>
      <c r="E24" s="978"/>
      <c r="F24" s="539">
        <v>2.94</v>
      </c>
      <c r="G24" s="985"/>
      <c r="H24" s="986"/>
      <c r="I24" s="990">
        <f t="shared" si="0"/>
        <v>376.95</v>
      </c>
      <c r="J24" s="991"/>
      <c r="K24" s="991"/>
      <c r="L24" s="991"/>
      <c r="M24" s="991"/>
      <c r="N24" s="991"/>
      <c r="O24" s="991"/>
      <c r="P24" s="992"/>
      <c r="Q24" s="162">
        <v>376.95</v>
      </c>
      <c r="R24" s="700"/>
    </row>
    <row r="25" spans="1:18" ht="20.399999999999999">
      <c r="A25" s="976"/>
      <c r="B25" s="972"/>
      <c r="C25" s="972"/>
      <c r="D25" s="22" t="s">
        <v>116</v>
      </c>
      <c r="E25" s="977">
        <v>180</v>
      </c>
      <c r="F25" s="23">
        <v>2.4500000000000002</v>
      </c>
      <c r="G25" s="985" t="s">
        <v>144</v>
      </c>
      <c r="H25" s="986"/>
      <c r="I25" s="987">
        <f t="shared" si="0"/>
        <v>469.35</v>
      </c>
      <c r="J25" s="988"/>
      <c r="K25" s="988"/>
      <c r="L25" s="988"/>
      <c r="M25" s="988"/>
      <c r="N25" s="988"/>
      <c r="O25" s="988"/>
      <c r="P25" s="989"/>
      <c r="Q25" s="162">
        <v>469.35</v>
      </c>
      <c r="R25" s="700"/>
    </row>
    <row r="26" spans="1:18" ht="20.399999999999999">
      <c r="A26" s="976"/>
      <c r="B26" s="972"/>
      <c r="C26" s="972"/>
      <c r="D26" s="21" t="s">
        <v>118</v>
      </c>
      <c r="E26" s="978"/>
      <c r="F26" s="539">
        <v>2.94</v>
      </c>
      <c r="G26" s="985"/>
      <c r="H26" s="986"/>
      <c r="I26" s="990">
        <f t="shared" si="0"/>
        <v>547.04999999999995</v>
      </c>
      <c r="J26" s="991"/>
      <c r="K26" s="991"/>
      <c r="L26" s="991"/>
      <c r="M26" s="991"/>
      <c r="N26" s="991"/>
      <c r="O26" s="991"/>
      <c r="P26" s="992"/>
      <c r="Q26" s="162">
        <v>547.05000000000007</v>
      </c>
      <c r="R26" s="700"/>
    </row>
    <row r="27" spans="1:18" ht="20.25" customHeight="1">
      <c r="A27" s="309"/>
      <c r="B27" s="993" t="s">
        <v>56</v>
      </c>
      <c r="C27" s="994"/>
      <c r="D27" s="999" t="s">
        <v>151</v>
      </c>
      <c r="E27" s="1001">
        <v>96</v>
      </c>
      <c r="F27" s="1002">
        <v>5.42</v>
      </c>
      <c r="G27" s="116" t="s">
        <v>117</v>
      </c>
      <c r="H27" s="1004"/>
      <c r="I27" s="987">
        <f t="shared" si="0"/>
        <v>591.15</v>
      </c>
      <c r="J27" s="988"/>
      <c r="K27" s="988"/>
      <c r="L27" s="988"/>
      <c r="M27" s="988"/>
      <c r="N27" s="988"/>
      <c r="O27" s="988"/>
      <c r="P27" s="989"/>
      <c r="Q27" s="162">
        <v>591.15</v>
      </c>
      <c r="R27" s="700"/>
    </row>
    <row r="28" spans="1:18" ht="21">
      <c r="A28" s="309"/>
      <c r="B28" s="995"/>
      <c r="C28" s="996"/>
      <c r="D28" s="1000"/>
      <c r="E28" s="1001"/>
      <c r="F28" s="1003"/>
      <c r="G28" s="117" t="s">
        <v>144</v>
      </c>
      <c r="H28" s="1004"/>
      <c r="I28" s="990">
        <f t="shared" si="0"/>
        <v>844.2</v>
      </c>
      <c r="J28" s="991"/>
      <c r="K28" s="991"/>
      <c r="L28" s="991"/>
      <c r="M28" s="991"/>
      <c r="N28" s="991"/>
      <c r="O28" s="991"/>
      <c r="P28" s="992"/>
      <c r="Q28" s="162">
        <v>844.2</v>
      </c>
      <c r="R28" s="700"/>
    </row>
    <row r="29" spans="1:18" ht="21">
      <c r="A29" s="309"/>
      <c r="B29" s="995"/>
      <c r="C29" s="996"/>
      <c r="D29" s="1006" t="s">
        <v>119</v>
      </c>
      <c r="E29" s="1001"/>
      <c r="F29" s="1007">
        <v>6.78</v>
      </c>
      <c r="G29" s="116" t="s">
        <v>117</v>
      </c>
      <c r="H29" s="1004"/>
      <c r="I29" s="987">
        <f t="shared" si="0"/>
        <v>703.5</v>
      </c>
      <c r="J29" s="988"/>
      <c r="K29" s="988"/>
      <c r="L29" s="988"/>
      <c r="M29" s="988"/>
      <c r="N29" s="988"/>
      <c r="O29" s="988"/>
      <c r="P29" s="989"/>
      <c r="Q29" s="162">
        <v>703.5</v>
      </c>
      <c r="R29" s="700"/>
    </row>
    <row r="30" spans="1:18" ht="21">
      <c r="A30" s="309"/>
      <c r="B30" s="995"/>
      <c r="C30" s="996"/>
      <c r="D30" s="1006"/>
      <c r="E30" s="1001"/>
      <c r="F30" s="1007"/>
      <c r="G30" s="117" t="s">
        <v>144</v>
      </c>
      <c r="H30" s="1004"/>
      <c r="I30" s="990">
        <f t="shared" si="0"/>
        <v>1019.55</v>
      </c>
      <c r="J30" s="991"/>
      <c r="K30" s="991"/>
      <c r="L30" s="991"/>
      <c r="M30" s="991"/>
      <c r="N30" s="991"/>
      <c r="O30" s="991"/>
      <c r="P30" s="992"/>
      <c r="Q30" s="162">
        <v>1019.5500000000001</v>
      </c>
      <c r="R30" s="700"/>
    </row>
    <row r="31" spans="1:18" ht="21">
      <c r="A31" s="309"/>
      <c r="B31" s="995"/>
      <c r="C31" s="996"/>
      <c r="D31" s="1006" t="s">
        <v>120</v>
      </c>
      <c r="E31" s="1001"/>
      <c r="F31" s="1007">
        <v>8.1300000000000008</v>
      </c>
      <c r="G31" s="116" t="s">
        <v>117</v>
      </c>
      <c r="H31" s="1004"/>
      <c r="I31" s="987">
        <f t="shared" si="0"/>
        <v>844.2</v>
      </c>
      <c r="J31" s="988"/>
      <c r="K31" s="988"/>
      <c r="L31" s="988"/>
      <c r="M31" s="988"/>
      <c r="N31" s="988"/>
      <c r="O31" s="988"/>
      <c r="P31" s="989"/>
      <c r="Q31" s="162">
        <v>844.2</v>
      </c>
      <c r="R31" s="700"/>
    </row>
    <row r="32" spans="1:18" ht="21">
      <c r="A32" s="309"/>
      <c r="B32" s="995"/>
      <c r="C32" s="996"/>
      <c r="D32" s="1006"/>
      <c r="E32" s="1001"/>
      <c r="F32" s="1007"/>
      <c r="G32" s="531" t="s">
        <v>144</v>
      </c>
      <c r="H32" s="1004"/>
      <c r="I32" s="990">
        <f t="shared" si="0"/>
        <v>1224.3</v>
      </c>
      <c r="J32" s="991"/>
      <c r="K32" s="991"/>
      <c r="L32" s="991"/>
      <c r="M32" s="991"/>
      <c r="N32" s="991"/>
      <c r="O32" s="991"/>
      <c r="P32" s="992"/>
      <c r="Q32" s="162">
        <v>1224.3</v>
      </c>
      <c r="R32" s="700"/>
    </row>
    <row r="33" spans="1:18" ht="20.25" customHeight="1">
      <c r="A33" s="309"/>
      <c r="B33" s="995"/>
      <c r="C33" s="996"/>
      <c r="D33" s="999" t="s">
        <v>230</v>
      </c>
      <c r="E33" s="1001"/>
      <c r="F33" s="1002">
        <v>11.64</v>
      </c>
      <c r="G33" s="116" t="s">
        <v>117</v>
      </c>
      <c r="H33" s="1004"/>
      <c r="I33" s="1008">
        <f t="shared" si="0"/>
        <v>1225.3499999999999</v>
      </c>
      <c r="J33" s="1009"/>
      <c r="K33" s="1009"/>
      <c r="L33" s="1009"/>
      <c r="M33" s="1009"/>
      <c r="N33" s="1009"/>
      <c r="O33" s="1009"/>
      <c r="P33" s="1010"/>
      <c r="Q33" s="162">
        <v>1225.3500000000001</v>
      </c>
      <c r="R33" s="700"/>
    </row>
    <row r="34" spans="1:18" ht="21">
      <c r="A34" s="309"/>
      <c r="B34" s="995"/>
      <c r="C34" s="996"/>
      <c r="D34" s="1000"/>
      <c r="E34" s="1001"/>
      <c r="F34" s="1003"/>
      <c r="G34" s="531" t="s">
        <v>144</v>
      </c>
      <c r="H34" s="1004"/>
      <c r="I34" s="1011">
        <f t="shared" si="0"/>
        <v>1776.6</v>
      </c>
      <c r="J34" s="1012"/>
      <c r="K34" s="1012"/>
      <c r="L34" s="1012"/>
      <c r="M34" s="1012"/>
      <c r="N34" s="1012"/>
      <c r="O34" s="1012"/>
      <c r="P34" s="1013"/>
      <c r="Q34" s="162">
        <v>1776.6000000000001</v>
      </c>
      <c r="R34" s="700"/>
    </row>
    <row r="35" spans="1:18" ht="21">
      <c r="A35" s="309"/>
      <c r="B35" s="995"/>
      <c r="C35" s="996"/>
      <c r="D35" s="999" t="s">
        <v>231</v>
      </c>
      <c r="E35" s="1001"/>
      <c r="F35" s="1002">
        <v>15.52</v>
      </c>
      <c r="G35" s="116" t="s">
        <v>117</v>
      </c>
      <c r="H35" s="1004"/>
      <c r="I35" s="1008">
        <f t="shared" si="0"/>
        <v>1633.8</v>
      </c>
      <c r="J35" s="1009"/>
      <c r="K35" s="1009"/>
      <c r="L35" s="1009"/>
      <c r="M35" s="1009"/>
      <c r="N35" s="1009"/>
      <c r="O35" s="1009"/>
      <c r="P35" s="1010"/>
      <c r="Q35" s="162">
        <v>1633.8000000000002</v>
      </c>
      <c r="R35" s="700"/>
    </row>
    <row r="36" spans="1:18" ht="21">
      <c r="A36" s="310"/>
      <c r="B36" s="997"/>
      <c r="C36" s="998"/>
      <c r="D36" s="1000"/>
      <c r="E36" s="1000"/>
      <c r="F36" s="1003"/>
      <c r="G36" s="531" t="s">
        <v>144</v>
      </c>
      <c r="H36" s="1005"/>
      <c r="I36" s="1011">
        <f t="shared" si="0"/>
        <v>2368.8000000000002</v>
      </c>
      <c r="J36" s="1012"/>
      <c r="K36" s="1012"/>
      <c r="L36" s="1012"/>
      <c r="M36" s="1012"/>
      <c r="N36" s="1012"/>
      <c r="O36" s="1012"/>
      <c r="P36" s="1013"/>
      <c r="Q36" s="162">
        <v>2368.8000000000002</v>
      </c>
      <c r="R36" s="700"/>
    </row>
    <row r="37" spans="1:18" ht="39.75" customHeight="1">
      <c r="A37" s="529"/>
      <c r="B37" s="972" t="s">
        <v>165</v>
      </c>
      <c r="C37" s="972"/>
      <c r="D37" s="536" t="s">
        <v>166</v>
      </c>
      <c r="E37" s="536">
        <v>162</v>
      </c>
      <c r="F37" s="533">
        <v>3.3</v>
      </c>
      <c r="G37" s="533" t="s">
        <v>76</v>
      </c>
      <c r="H37" s="532">
        <v>1</v>
      </c>
      <c r="I37" s="1014">
        <f t="shared" si="0"/>
        <v>544.95000000000005</v>
      </c>
      <c r="J37" s="1014"/>
      <c r="K37" s="1014"/>
      <c r="L37" s="1014"/>
      <c r="M37" s="1014"/>
      <c r="N37" s="1014"/>
      <c r="O37" s="1014"/>
      <c r="P37" s="1014"/>
      <c r="Q37" s="162">
        <v>544.95000000000005</v>
      </c>
      <c r="R37" s="700"/>
    </row>
    <row r="38" spans="1:18" ht="39.75" customHeight="1">
      <c r="A38" s="529"/>
      <c r="B38" s="972" t="s">
        <v>227</v>
      </c>
      <c r="C38" s="972"/>
      <c r="D38" s="536" t="s">
        <v>173</v>
      </c>
      <c r="E38" s="536">
        <v>100</v>
      </c>
      <c r="F38" s="533">
        <v>3.6</v>
      </c>
      <c r="G38" s="533" t="s">
        <v>144</v>
      </c>
      <c r="H38" s="532">
        <v>0.5</v>
      </c>
      <c r="I38" s="1014">
        <f t="shared" si="0"/>
        <v>1058.4000000000001</v>
      </c>
      <c r="J38" s="1014"/>
      <c r="K38" s="1014"/>
      <c r="L38" s="1014"/>
      <c r="M38" s="1014"/>
      <c r="N38" s="1014"/>
      <c r="O38" s="1014"/>
      <c r="P38" s="1014"/>
      <c r="Q38" s="162">
        <v>1058.4000000000001</v>
      </c>
      <c r="R38" s="700"/>
    </row>
    <row r="39" spans="1:18" ht="20.399999999999999">
      <c r="A39" s="976"/>
      <c r="B39" s="972" t="s">
        <v>174</v>
      </c>
      <c r="C39" s="972"/>
      <c r="D39" s="20" t="s">
        <v>175</v>
      </c>
      <c r="E39" s="977">
        <v>154</v>
      </c>
      <c r="F39" s="538">
        <v>3.3</v>
      </c>
      <c r="G39" s="985" t="s">
        <v>76</v>
      </c>
      <c r="H39" s="986">
        <v>1</v>
      </c>
      <c r="I39" s="1015">
        <f t="shared" si="0"/>
        <v>544.95000000000005</v>
      </c>
      <c r="J39" s="1015"/>
      <c r="K39" s="1015"/>
      <c r="L39" s="1015"/>
      <c r="M39" s="1015"/>
      <c r="N39" s="1015"/>
      <c r="O39" s="1015"/>
      <c r="P39" s="1015"/>
      <c r="Q39" s="162">
        <v>544.95000000000005</v>
      </c>
      <c r="R39" s="700"/>
    </row>
    <row r="40" spans="1:18" ht="20.399999999999999">
      <c r="A40" s="976"/>
      <c r="B40" s="972"/>
      <c r="C40" s="972"/>
      <c r="D40" s="21" t="s">
        <v>176</v>
      </c>
      <c r="E40" s="978"/>
      <c r="F40" s="539">
        <v>3.96</v>
      </c>
      <c r="G40" s="985"/>
      <c r="H40" s="986"/>
      <c r="I40" s="984">
        <f t="shared" si="0"/>
        <v>654.15</v>
      </c>
      <c r="J40" s="984"/>
      <c r="K40" s="984"/>
      <c r="L40" s="984"/>
      <c r="M40" s="984"/>
      <c r="N40" s="984"/>
      <c r="O40" s="984"/>
      <c r="P40" s="984"/>
      <c r="Q40" s="162">
        <v>654.15</v>
      </c>
      <c r="R40" s="700"/>
    </row>
    <row r="41" spans="1:18" ht="20.399999999999999">
      <c r="A41" s="976"/>
      <c r="B41" s="972" t="s">
        <v>177</v>
      </c>
      <c r="C41" s="972"/>
      <c r="D41" s="1016" t="s">
        <v>178</v>
      </c>
      <c r="E41" s="1016">
        <v>42</v>
      </c>
      <c r="F41" s="1017">
        <v>0.25</v>
      </c>
      <c r="G41" s="538" t="s">
        <v>117</v>
      </c>
      <c r="H41" s="986">
        <v>1.4</v>
      </c>
      <c r="I41" s="1015">
        <f t="shared" si="0"/>
        <v>49.35</v>
      </c>
      <c r="J41" s="1015"/>
      <c r="K41" s="1015"/>
      <c r="L41" s="1015"/>
      <c r="M41" s="1015"/>
      <c r="N41" s="1015"/>
      <c r="O41" s="1015"/>
      <c r="P41" s="1015"/>
      <c r="Q41" s="162">
        <v>49.35</v>
      </c>
      <c r="R41" s="700"/>
    </row>
    <row r="42" spans="1:18" ht="20.399999999999999">
      <c r="A42" s="976"/>
      <c r="B42" s="972"/>
      <c r="C42" s="972"/>
      <c r="D42" s="1016"/>
      <c r="E42" s="1016"/>
      <c r="F42" s="1018"/>
      <c r="G42" s="539" t="s">
        <v>144</v>
      </c>
      <c r="H42" s="986"/>
      <c r="I42" s="984">
        <f t="shared" si="0"/>
        <v>98.7</v>
      </c>
      <c r="J42" s="984"/>
      <c r="K42" s="984"/>
      <c r="L42" s="984"/>
      <c r="M42" s="984"/>
      <c r="N42" s="984"/>
      <c r="O42" s="984"/>
      <c r="P42" s="984"/>
      <c r="Q42" s="162">
        <v>98.7</v>
      </c>
      <c r="R42" s="700"/>
    </row>
    <row r="43" spans="1:18" ht="39.75" customHeight="1">
      <c r="A43" s="529"/>
      <c r="B43" s="972" t="s">
        <v>179</v>
      </c>
      <c r="C43" s="972"/>
      <c r="D43" s="536" t="s">
        <v>180</v>
      </c>
      <c r="E43" s="536">
        <v>30</v>
      </c>
      <c r="F43" s="533">
        <v>0.3</v>
      </c>
      <c r="G43" s="533" t="s">
        <v>144</v>
      </c>
      <c r="H43" s="532">
        <v>1.4</v>
      </c>
      <c r="I43" s="1014">
        <f t="shared" si="0"/>
        <v>98.7</v>
      </c>
      <c r="J43" s="1014"/>
      <c r="K43" s="1014"/>
      <c r="L43" s="1014"/>
      <c r="M43" s="1014"/>
      <c r="N43" s="1014"/>
      <c r="O43" s="1014"/>
      <c r="P43" s="1014"/>
      <c r="Q43" s="162">
        <v>98.7</v>
      </c>
      <c r="R43" s="700"/>
    </row>
    <row r="44" spans="1:18" ht="39.75" customHeight="1">
      <c r="A44" s="529"/>
      <c r="B44" s="972" t="s">
        <v>181</v>
      </c>
      <c r="C44" s="972"/>
      <c r="D44" s="536" t="s">
        <v>182</v>
      </c>
      <c r="E44" s="536">
        <v>80</v>
      </c>
      <c r="F44" s="533">
        <v>0.02</v>
      </c>
      <c r="G44" s="533" t="s">
        <v>144</v>
      </c>
      <c r="H44" s="532">
        <v>0.5</v>
      </c>
      <c r="I44" s="1014">
        <f t="shared" si="0"/>
        <v>38.85</v>
      </c>
      <c r="J44" s="1014"/>
      <c r="K44" s="1014"/>
      <c r="L44" s="1014"/>
      <c r="M44" s="1014"/>
      <c r="N44" s="1014"/>
      <c r="O44" s="1014"/>
      <c r="P44" s="1014"/>
      <c r="Q44" s="162">
        <v>38.85</v>
      </c>
      <c r="R44" s="700"/>
    </row>
    <row r="45" spans="1:18" ht="39.75" customHeight="1">
      <c r="A45" s="529"/>
      <c r="B45" s="972" t="s">
        <v>183</v>
      </c>
      <c r="C45" s="972"/>
      <c r="D45" s="536" t="s">
        <v>184</v>
      </c>
      <c r="E45" s="536">
        <v>200</v>
      </c>
      <c r="F45" s="533" t="s">
        <v>78</v>
      </c>
      <c r="G45" s="533" t="s">
        <v>185</v>
      </c>
      <c r="H45" s="532" t="s">
        <v>78</v>
      </c>
      <c r="I45" s="1014">
        <f t="shared" si="0"/>
        <v>49</v>
      </c>
      <c r="J45" s="1014"/>
      <c r="K45" s="1014"/>
      <c r="L45" s="1014"/>
      <c r="M45" s="1014"/>
      <c r="N45" s="1014"/>
      <c r="O45" s="1014"/>
      <c r="P45" s="1014"/>
      <c r="Q45" s="162">
        <v>49</v>
      </c>
      <c r="R45" s="700"/>
    </row>
    <row r="46" spans="1:18" ht="39.75" customHeight="1">
      <c r="A46" s="529"/>
      <c r="B46" s="972" t="s">
        <v>186</v>
      </c>
      <c r="C46" s="972"/>
      <c r="D46" s="536" t="s">
        <v>187</v>
      </c>
      <c r="E46" s="536">
        <v>100</v>
      </c>
      <c r="F46" s="533">
        <v>0.13700000000000001</v>
      </c>
      <c r="G46" s="533" t="s">
        <v>117</v>
      </c>
      <c r="H46" s="532">
        <v>1.4</v>
      </c>
      <c r="I46" s="1014">
        <f t="shared" si="0"/>
        <v>49.35</v>
      </c>
      <c r="J46" s="1014"/>
      <c r="K46" s="1014"/>
      <c r="L46" s="1014"/>
      <c r="M46" s="1014"/>
      <c r="N46" s="1014"/>
      <c r="O46" s="1014"/>
      <c r="P46" s="1014"/>
      <c r="Q46" s="162">
        <v>49.35</v>
      </c>
      <c r="R46" s="700"/>
    </row>
    <row r="47" spans="1:18" ht="39.75" customHeight="1">
      <c r="A47" s="529"/>
      <c r="B47" s="972" t="s">
        <v>163</v>
      </c>
      <c r="C47" s="972"/>
      <c r="D47" s="536" t="s">
        <v>164</v>
      </c>
      <c r="E47" s="536">
        <v>160</v>
      </c>
      <c r="F47" s="533">
        <v>0.01</v>
      </c>
      <c r="G47" s="533" t="s">
        <v>144</v>
      </c>
      <c r="H47" s="532">
        <v>0.5</v>
      </c>
      <c r="I47" s="1014">
        <f t="shared" si="0"/>
        <v>27.3</v>
      </c>
      <c r="J47" s="1014"/>
      <c r="K47" s="1014"/>
      <c r="L47" s="1014"/>
      <c r="M47" s="1014"/>
      <c r="N47" s="1014"/>
      <c r="O47" s="1014"/>
      <c r="P47" s="1014"/>
      <c r="Q47" s="162">
        <v>27.3</v>
      </c>
      <c r="R47" s="700"/>
    </row>
    <row r="48" spans="1:18" ht="39.75" customHeight="1">
      <c r="A48" s="540"/>
      <c r="B48" s="1019" t="s">
        <v>258</v>
      </c>
      <c r="C48" s="1020"/>
      <c r="D48" s="537" t="s">
        <v>257</v>
      </c>
      <c r="E48" s="1021" t="s">
        <v>78</v>
      </c>
      <c r="F48" s="1022"/>
      <c r="G48" s="1022"/>
      <c r="H48" s="1023"/>
      <c r="I48" s="1024">
        <f t="shared" si="0"/>
        <v>300</v>
      </c>
      <c r="J48" s="1025"/>
      <c r="K48" s="1025"/>
      <c r="L48" s="1025"/>
      <c r="M48" s="1025"/>
      <c r="N48" s="1025"/>
      <c r="O48" s="1025"/>
      <c r="P48" s="1026"/>
      <c r="Q48" s="162">
        <v>300</v>
      </c>
      <c r="R48" s="700"/>
    </row>
    <row r="49" spans="1:18" ht="41.25" customHeight="1">
      <c r="A49" s="540"/>
      <c r="B49" s="1032" t="s">
        <v>149</v>
      </c>
      <c r="C49" s="1032"/>
      <c r="D49" s="1000" t="s">
        <v>172</v>
      </c>
      <c r="E49" s="534">
        <v>1000</v>
      </c>
      <c r="F49" s="43"/>
      <c r="G49" s="534" t="s">
        <v>145</v>
      </c>
      <c r="H49" s="534" t="s">
        <v>78</v>
      </c>
      <c r="I49" s="1033">
        <f>ROUND(Q49*(1-$F$66),2)</f>
        <v>1.68</v>
      </c>
      <c r="J49" s="1033"/>
      <c r="K49" s="1033"/>
      <c r="L49" s="1033"/>
      <c r="M49" s="1033"/>
      <c r="N49" s="1033"/>
      <c r="O49" s="1033"/>
      <c r="P49" s="1033"/>
      <c r="Q49" s="162">
        <v>1.6800000000000002</v>
      </c>
      <c r="R49" s="700"/>
    </row>
    <row r="50" spans="1:18" ht="42.75" customHeight="1">
      <c r="A50" s="529"/>
      <c r="B50" s="1034" t="s">
        <v>150</v>
      </c>
      <c r="C50" s="1034"/>
      <c r="D50" s="1006"/>
      <c r="E50" s="535">
        <v>1000</v>
      </c>
      <c r="F50" s="24"/>
      <c r="G50" s="534" t="s">
        <v>145</v>
      </c>
      <c r="H50" s="535" t="s">
        <v>78</v>
      </c>
      <c r="I50" s="1033">
        <f>ROUND(Q50*(1-$F$66),2)</f>
        <v>1.79</v>
      </c>
      <c r="J50" s="1033"/>
      <c r="K50" s="1033"/>
      <c r="L50" s="1033"/>
      <c r="M50" s="1033"/>
      <c r="N50" s="1033"/>
      <c r="O50" s="1033"/>
      <c r="P50" s="1033"/>
      <c r="Q50" s="162">
        <v>1.7849999999999999</v>
      </c>
      <c r="R50" s="700"/>
    </row>
    <row r="51" spans="1:18" ht="41.25" customHeight="1">
      <c r="A51" s="976"/>
      <c r="B51" s="1035" t="s">
        <v>146</v>
      </c>
      <c r="C51" s="1035"/>
      <c r="D51" s="1006"/>
      <c r="E51" s="1016">
        <v>250</v>
      </c>
      <c r="F51" s="985"/>
      <c r="G51" s="985" t="s">
        <v>145</v>
      </c>
      <c r="H51" s="986" t="s">
        <v>78</v>
      </c>
      <c r="I51" s="1036">
        <f>ROUND(Q51*(1-$D$66),2)</f>
        <v>4.2</v>
      </c>
      <c r="J51" s="1036"/>
      <c r="K51" s="1036"/>
      <c r="L51" s="1036"/>
      <c r="M51" s="1036"/>
      <c r="N51" s="1036"/>
      <c r="O51" s="1036"/>
      <c r="P51" s="1036"/>
      <c r="Q51" s="162">
        <v>4.2</v>
      </c>
      <c r="R51" s="700"/>
    </row>
    <row r="52" spans="1:18" ht="41.25" customHeight="1">
      <c r="A52" s="976"/>
      <c r="B52" s="1037" t="s">
        <v>148</v>
      </c>
      <c r="C52" s="1037"/>
      <c r="D52" s="1006"/>
      <c r="E52" s="1016"/>
      <c r="F52" s="985"/>
      <c r="G52" s="985"/>
      <c r="H52" s="986"/>
      <c r="I52" s="1038">
        <f>ROUND(Q52*(1-$C$66),2)</f>
        <v>4.2</v>
      </c>
      <c r="J52" s="1038"/>
      <c r="K52" s="1038"/>
      <c r="L52" s="1038"/>
      <c r="M52" s="1038"/>
      <c r="N52" s="1038"/>
      <c r="O52" s="1038"/>
      <c r="P52" s="1038"/>
      <c r="Q52" s="162">
        <v>4.2</v>
      </c>
      <c r="R52" s="700"/>
    </row>
    <row r="53" spans="1:18" ht="21">
      <c r="P53" s="40"/>
      <c r="Q53" s="40"/>
    </row>
    <row r="54" spans="1:18" ht="21">
      <c r="A54" s="66" t="s">
        <v>421</v>
      </c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41"/>
      <c r="Q54" s="41"/>
    </row>
    <row r="55" spans="1:18" ht="21">
      <c r="A55" s="31" t="s">
        <v>424</v>
      </c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41"/>
      <c r="Q55" s="41"/>
    </row>
    <row r="56" spans="1:18" ht="21">
      <c r="A56" s="31" t="s">
        <v>530</v>
      </c>
      <c r="B56" s="9"/>
      <c r="C56" s="9"/>
      <c r="D56" s="9"/>
      <c r="E56" s="9"/>
      <c r="F56" s="9"/>
      <c r="G56" s="30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1:18" ht="21">
      <c r="A57" s="31" t="s">
        <v>422</v>
      </c>
      <c r="B57" s="9"/>
      <c r="C57" s="9"/>
      <c r="D57" s="9"/>
      <c r="E57" s="9"/>
      <c r="F57" s="9"/>
      <c r="G57" s="30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1:18" ht="21">
      <c r="A58" s="31" t="s">
        <v>423</v>
      </c>
      <c r="B58" s="9"/>
      <c r="C58" s="9"/>
      <c r="D58" s="9"/>
      <c r="E58" s="9"/>
      <c r="F58" s="9"/>
      <c r="G58" s="30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1:18" ht="21">
      <c r="A59" s="31" t="s">
        <v>412</v>
      </c>
      <c r="B59" s="9"/>
      <c r="C59" s="9"/>
      <c r="D59" s="9"/>
      <c r="E59" s="9"/>
      <c r="F59" s="9"/>
      <c r="G59" s="30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1:18" ht="21">
      <c r="A60" s="31" t="s">
        <v>157</v>
      </c>
      <c r="P60" s="9"/>
      <c r="Q60" s="9"/>
    </row>
    <row r="61" spans="1:18" ht="20.399999999999999">
      <c r="A61" s="9"/>
      <c r="B61" s="9"/>
      <c r="C61" s="9"/>
      <c r="D61" s="9"/>
      <c r="E61" s="9"/>
      <c r="F61" s="9"/>
      <c r="G61" s="30"/>
      <c r="H61" s="9"/>
      <c r="I61" s="9"/>
      <c r="J61" s="9"/>
      <c r="K61" s="9"/>
      <c r="L61" s="9"/>
      <c r="M61" s="9"/>
      <c r="N61" s="9"/>
      <c r="O61" s="9"/>
      <c r="P61" s="9"/>
      <c r="Q61" s="9"/>
    </row>
    <row r="62" spans="1:18" ht="21">
      <c r="A62" s="67" t="s">
        <v>551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9"/>
      <c r="Q62" s="9"/>
    </row>
    <row r="63" spans="1:18" ht="20.399999999999999">
      <c r="B63" s="9"/>
      <c r="C63" s="9"/>
      <c r="D63" s="9"/>
      <c r="E63" s="9"/>
      <c r="F63" s="9"/>
      <c r="G63" s="30"/>
      <c r="H63" s="9"/>
      <c r="I63" s="9"/>
      <c r="J63" s="9"/>
      <c r="K63" s="9"/>
      <c r="L63" s="9"/>
      <c r="M63" s="9"/>
      <c r="N63" s="9"/>
      <c r="O63" s="9"/>
      <c r="P63" s="9"/>
      <c r="Q63" s="9"/>
    </row>
    <row r="64" spans="1:18" ht="21">
      <c r="A64" s="31"/>
      <c r="B64" s="9"/>
      <c r="C64" s="9"/>
      <c r="D64" s="9"/>
      <c r="E64" s="9"/>
      <c r="F64" s="9"/>
      <c r="G64" s="30"/>
      <c r="H64" s="9"/>
      <c r="I64" s="9"/>
      <c r="J64" s="9"/>
      <c r="K64" s="9"/>
      <c r="L64" s="9"/>
      <c r="M64" s="9"/>
      <c r="N64" s="9"/>
      <c r="O64" s="9"/>
      <c r="P64" s="9"/>
      <c r="Q64" s="9"/>
    </row>
    <row r="65" spans="1:17" ht="52.5" customHeight="1">
      <c r="A65" s="1027" t="s">
        <v>93</v>
      </c>
      <c r="B65" s="69" t="s">
        <v>129</v>
      </c>
      <c r="C65" s="70" t="s">
        <v>140</v>
      </c>
      <c r="D65" s="1028" t="s">
        <v>141</v>
      </c>
      <c r="E65" s="1029"/>
      <c r="F65" s="1030" t="s">
        <v>142</v>
      </c>
      <c r="G65" s="1031"/>
      <c r="H65" s="1031"/>
      <c r="I65" s="9"/>
      <c r="J65" s="9"/>
      <c r="K65" s="9"/>
      <c r="L65" s="9"/>
      <c r="M65" s="9"/>
      <c r="N65" s="9"/>
      <c r="O65" s="9"/>
      <c r="P65" s="9"/>
      <c r="Q65" s="9"/>
    </row>
    <row r="66" spans="1:17" ht="32.4">
      <c r="A66" s="1027"/>
      <c r="B66" s="65">
        <v>0</v>
      </c>
      <c r="C66" s="65">
        <v>0</v>
      </c>
      <c r="D66" s="734">
        <v>0</v>
      </c>
      <c r="E66" s="736"/>
      <c r="F66" s="734">
        <v>0</v>
      </c>
      <c r="G66" s="735"/>
      <c r="H66" s="736"/>
      <c r="I66" s="9"/>
      <c r="J66" s="9"/>
      <c r="K66" s="9"/>
      <c r="L66" s="9"/>
      <c r="M66" s="9"/>
      <c r="N66" s="9"/>
      <c r="O66" s="9"/>
      <c r="P66" s="9"/>
      <c r="Q66" s="9"/>
    </row>
    <row r="67" spans="1:17" ht="20.399999999999999">
      <c r="B67" s="9"/>
      <c r="C67" s="9"/>
      <c r="D67" s="9"/>
      <c r="E67" s="9"/>
      <c r="F67" s="30"/>
      <c r="G67" s="30"/>
      <c r="H67" s="9"/>
      <c r="I67" s="9"/>
      <c r="J67" s="9"/>
      <c r="K67" s="9"/>
      <c r="L67" s="9"/>
      <c r="M67" s="9"/>
      <c r="N67" s="9"/>
      <c r="O67" s="9"/>
      <c r="P67" s="9"/>
      <c r="Q67" s="9"/>
    </row>
    <row r="68" spans="1:17" ht="20.399999999999999">
      <c r="A68" s="9"/>
      <c r="B68" s="9"/>
      <c r="C68" s="9"/>
      <c r="D68" s="9"/>
      <c r="E68" s="9"/>
      <c r="F68" s="9"/>
      <c r="G68" s="30"/>
      <c r="H68" s="9"/>
      <c r="I68" s="9"/>
      <c r="J68" s="9"/>
      <c r="K68" s="9"/>
      <c r="L68" s="9"/>
      <c r="M68" s="9"/>
      <c r="N68" s="9"/>
      <c r="O68" s="9"/>
      <c r="P68" s="9"/>
      <c r="Q68" s="9"/>
    </row>
    <row r="69" spans="1:17" ht="20.399999999999999">
      <c r="A69" s="9"/>
      <c r="B69" s="9"/>
      <c r="C69" s="9"/>
      <c r="D69" s="9"/>
      <c r="E69" s="9"/>
      <c r="F69" s="9"/>
      <c r="G69" s="30"/>
      <c r="H69" s="9"/>
      <c r="I69" s="9"/>
      <c r="J69" s="9"/>
      <c r="K69" s="9"/>
      <c r="L69" s="9"/>
      <c r="M69" s="9"/>
      <c r="N69" s="9"/>
      <c r="O69" s="9"/>
      <c r="P69" s="9"/>
      <c r="Q69" s="9"/>
    </row>
    <row r="70" spans="1:17" ht="20.399999999999999">
      <c r="A70" s="9"/>
      <c r="B70" s="9"/>
      <c r="C70" s="9"/>
      <c r="D70" s="9"/>
      <c r="E70" s="9"/>
      <c r="F70" s="9"/>
      <c r="G70" s="30"/>
      <c r="H70" s="9"/>
      <c r="I70" s="9"/>
      <c r="J70" s="9"/>
      <c r="K70" s="9"/>
      <c r="L70" s="9"/>
      <c r="M70" s="9"/>
      <c r="N70" s="9"/>
      <c r="O70" s="9"/>
      <c r="P70" s="9"/>
      <c r="Q70" s="9"/>
    </row>
    <row r="71" spans="1:17" ht="20.399999999999999">
      <c r="A71" s="9"/>
      <c r="B71" s="9"/>
      <c r="C71" s="9"/>
      <c r="D71" s="9"/>
      <c r="E71" s="9"/>
      <c r="F71" s="9"/>
      <c r="G71" s="30"/>
      <c r="H71" s="9"/>
      <c r="I71" s="9"/>
      <c r="J71" s="9"/>
      <c r="K71" s="9"/>
      <c r="L71" s="9"/>
      <c r="M71" s="9"/>
      <c r="N71" s="9"/>
      <c r="O71" s="9"/>
      <c r="P71" s="9"/>
      <c r="Q71" s="9"/>
    </row>
    <row r="74" spans="1:17" ht="21">
      <c r="A74" s="66"/>
    </row>
    <row r="75" spans="1:17" ht="21">
      <c r="A75" s="31"/>
    </row>
    <row r="76" spans="1:17" ht="21">
      <c r="A76" s="31"/>
    </row>
    <row r="77" spans="1:17" ht="21">
      <c r="A77" s="31"/>
    </row>
    <row r="78" spans="1:17" ht="21">
      <c r="A78" s="31"/>
    </row>
    <row r="79" spans="1:17" ht="20.399999999999999">
      <c r="A79" s="9"/>
    </row>
    <row r="80" spans="1:17" ht="21">
      <c r="A80" s="67"/>
    </row>
  </sheetData>
  <sheetProtection formatCells="0" formatColumns="0" formatRows="0" insertColumns="0" insertRows="0" insertHyperlinks="0" deleteColumns="0" deleteRows="0" sort="0" autoFilter="0" pivotTables="0"/>
  <mergeCells count="147">
    <mergeCell ref="A65:A66"/>
    <mergeCell ref="D65:E65"/>
    <mergeCell ref="F65:H65"/>
    <mergeCell ref="D66:E66"/>
    <mergeCell ref="F66:H66"/>
    <mergeCell ref="B49:C49"/>
    <mergeCell ref="D49:D52"/>
    <mergeCell ref="I49:P49"/>
    <mergeCell ref="B50:C50"/>
    <mergeCell ref="I50:P50"/>
    <mergeCell ref="A51:A52"/>
    <mergeCell ref="B51:C51"/>
    <mergeCell ref="E51:E52"/>
    <mergeCell ref="F51:F52"/>
    <mergeCell ref="G51:G52"/>
    <mergeCell ref="H51:H52"/>
    <mergeCell ref="I51:P51"/>
    <mergeCell ref="B52:C52"/>
    <mergeCell ref="I52:P52"/>
    <mergeCell ref="B47:C47"/>
    <mergeCell ref="I47:P47"/>
    <mergeCell ref="B48:C48"/>
    <mergeCell ref="E48:H48"/>
    <mergeCell ref="I48:P48"/>
    <mergeCell ref="B43:C43"/>
    <mergeCell ref="I43:P43"/>
    <mergeCell ref="B44:C44"/>
    <mergeCell ref="I44:P44"/>
    <mergeCell ref="B45:C45"/>
    <mergeCell ref="I45:P45"/>
    <mergeCell ref="A41:A42"/>
    <mergeCell ref="B41:C42"/>
    <mergeCell ref="D41:D42"/>
    <mergeCell ref="E41:E42"/>
    <mergeCell ref="F41:F42"/>
    <mergeCell ref="H41:H42"/>
    <mergeCell ref="I41:P41"/>
    <mergeCell ref="I42:P42"/>
    <mergeCell ref="B46:C46"/>
    <mergeCell ref="I46:P46"/>
    <mergeCell ref="B37:C37"/>
    <mergeCell ref="I37:P37"/>
    <mergeCell ref="B38:C38"/>
    <mergeCell ref="I38:P38"/>
    <mergeCell ref="A39:A40"/>
    <mergeCell ref="B39:C40"/>
    <mergeCell ref="E39:E40"/>
    <mergeCell ref="G39:G40"/>
    <mergeCell ref="H39:H40"/>
    <mergeCell ref="I39:P39"/>
    <mergeCell ref="I40:P40"/>
    <mergeCell ref="B27:C36"/>
    <mergeCell ref="D27:D28"/>
    <mergeCell ref="E27:E36"/>
    <mergeCell ref="F27:F28"/>
    <mergeCell ref="H27:H36"/>
    <mergeCell ref="I27:P27"/>
    <mergeCell ref="I28:P28"/>
    <mergeCell ref="D29:D30"/>
    <mergeCell ref="F29:F30"/>
    <mergeCell ref="D33:D34"/>
    <mergeCell ref="F33:F34"/>
    <mergeCell ref="I33:P33"/>
    <mergeCell ref="I34:P34"/>
    <mergeCell ref="D35:D36"/>
    <mergeCell ref="F35:F36"/>
    <mergeCell ref="I35:P35"/>
    <mergeCell ref="I36:P36"/>
    <mergeCell ref="I29:P29"/>
    <mergeCell ref="I30:P30"/>
    <mergeCell ref="D31:D32"/>
    <mergeCell ref="F31:F32"/>
    <mergeCell ref="I31:P31"/>
    <mergeCell ref="I32:P32"/>
    <mergeCell ref="A23:A26"/>
    <mergeCell ref="B23:C26"/>
    <mergeCell ref="E23:E24"/>
    <mergeCell ref="G23:G24"/>
    <mergeCell ref="H23:H26"/>
    <mergeCell ref="I23:P23"/>
    <mergeCell ref="I24:P24"/>
    <mergeCell ref="E25:E26"/>
    <mergeCell ref="G25:G26"/>
    <mergeCell ref="I25:P25"/>
    <mergeCell ref="I26:P26"/>
    <mergeCell ref="A19:P19"/>
    <mergeCell ref="B20:C20"/>
    <mergeCell ref="I20:P20"/>
    <mergeCell ref="A21:A22"/>
    <mergeCell ref="B21:C22"/>
    <mergeCell ref="E21:E22"/>
    <mergeCell ref="G21:G22"/>
    <mergeCell ref="H21:H22"/>
    <mergeCell ref="I21:P21"/>
    <mergeCell ref="I22:P22"/>
    <mergeCell ref="M16:P16"/>
    <mergeCell ref="A17:A18"/>
    <mergeCell ref="B17:B18"/>
    <mergeCell ref="D17:H18"/>
    <mergeCell ref="I17:L17"/>
    <mergeCell ref="M17:P17"/>
    <mergeCell ref="I18:L18"/>
    <mergeCell ref="M18:P18"/>
    <mergeCell ref="A13:H14"/>
    <mergeCell ref="I13:P13"/>
    <mergeCell ref="I14:L14"/>
    <mergeCell ref="M14:P14"/>
    <mergeCell ref="A15:A16"/>
    <mergeCell ref="B15:B16"/>
    <mergeCell ref="D15:H16"/>
    <mergeCell ref="I15:L15"/>
    <mergeCell ref="M15:P15"/>
    <mergeCell ref="I16:L16"/>
    <mergeCell ref="A11:A12"/>
    <mergeCell ref="B11:B12"/>
    <mergeCell ref="D11:H12"/>
    <mergeCell ref="I11:L11"/>
    <mergeCell ref="M11:P11"/>
    <mergeCell ref="I12:L12"/>
    <mergeCell ref="M12:P12"/>
    <mergeCell ref="O7:P7"/>
    <mergeCell ref="I8:J8"/>
    <mergeCell ref="K8:L8"/>
    <mergeCell ref="M8:N8"/>
    <mergeCell ref="O8:P8"/>
    <mergeCell ref="A9:H10"/>
    <mergeCell ref="I9:P9"/>
    <mergeCell ref="I10:L10"/>
    <mergeCell ref="M10:P10"/>
    <mergeCell ref="A5:A8"/>
    <mergeCell ref="B5:B8"/>
    <mergeCell ref="C5:C8"/>
    <mergeCell ref="D5:H8"/>
    <mergeCell ref="I5:L5"/>
    <mergeCell ref="M5:P5"/>
    <mergeCell ref="I6:P6"/>
    <mergeCell ref="I7:J7"/>
    <mergeCell ref="K7:L7"/>
    <mergeCell ref="M7:N7"/>
    <mergeCell ref="D2:H2"/>
    <mergeCell ref="O2:P2"/>
    <mergeCell ref="A3:A4"/>
    <mergeCell ref="B3:B4"/>
    <mergeCell ref="C3:C4"/>
    <mergeCell ref="D3:H4"/>
    <mergeCell ref="I3:P3"/>
    <mergeCell ref="I4:P4"/>
  </mergeCells>
  <printOptions horizontalCentered="1"/>
  <pageMargins left="0" right="0" top="0" bottom="0" header="0" footer="0"/>
  <pageSetup paperSize="9" scale="40" fitToHeight="0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C00000"/>
    <pageSetUpPr fitToPage="1"/>
  </sheetPr>
  <dimension ref="A1:HS93"/>
  <sheetViews>
    <sheetView showGridLines="0" zoomScale="55" zoomScaleNormal="55" zoomScaleSheetLayoutView="50" zoomScalePageLayoutView="40" workbookViewId="0">
      <selection activeCell="AD7" sqref="AD7"/>
    </sheetView>
  </sheetViews>
  <sheetFormatPr defaultColWidth="8.6640625" defaultRowHeight="14.4"/>
  <cols>
    <col min="1" max="1" width="38" style="48" customWidth="1"/>
    <col min="2" max="7" width="15.6640625" style="48" customWidth="1"/>
    <col min="8" max="14" width="18.6640625" style="48" customWidth="1"/>
    <col min="15" max="15" width="13.44140625" style="158" hidden="1" customWidth="1"/>
    <col min="16" max="17" width="19.6640625" style="48" hidden="1" customWidth="1"/>
    <col min="18" max="18" width="19.88671875" style="48" hidden="1" customWidth="1"/>
    <col min="19" max="19" width="12.109375" style="48" hidden="1" customWidth="1"/>
    <col min="20" max="20" width="11" style="48" hidden="1" customWidth="1"/>
    <col min="21" max="21" width="12.6640625" style="48" hidden="1" customWidth="1"/>
    <col min="22" max="22" width="10.6640625" style="48" hidden="1" customWidth="1"/>
    <col min="23" max="23" width="25.33203125" style="48" hidden="1" customWidth="1"/>
    <col min="24" max="24" width="8.6640625" style="48" customWidth="1"/>
    <col min="25" max="16384" width="8.6640625" style="48"/>
  </cols>
  <sheetData>
    <row r="1" spans="1:227" ht="75.75" customHeight="1">
      <c r="B1" s="52"/>
      <c r="C1" s="52"/>
      <c r="D1" s="52"/>
      <c r="E1" s="1052" t="s">
        <v>445</v>
      </c>
      <c r="F1" s="1052"/>
      <c r="G1" s="1052"/>
      <c r="H1" s="1052"/>
      <c r="I1" s="1052"/>
      <c r="J1" s="1052"/>
      <c r="K1" s="52"/>
      <c r="O1" s="159"/>
      <c r="P1" s="52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</row>
    <row r="2" spans="1:227" ht="33" customHeight="1">
      <c r="A2" s="51"/>
      <c r="B2" s="51"/>
      <c r="C2" s="51"/>
      <c r="E2" s="1053"/>
      <c r="F2" s="1053"/>
      <c r="G2" s="1053"/>
      <c r="H2" s="1053"/>
      <c r="I2" s="1053"/>
      <c r="J2" s="1053"/>
      <c r="K2" s="311"/>
      <c r="M2" s="124" t="s">
        <v>225</v>
      </c>
      <c r="N2" s="755">
        <v>42989</v>
      </c>
      <c r="O2" s="755"/>
    </row>
    <row r="3" spans="1:227" ht="99.9" customHeight="1">
      <c r="A3" s="1135" t="s">
        <v>147</v>
      </c>
      <c r="B3" s="1054" t="s">
        <v>136</v>
      </c>
      <c r="C3" s="1055"/>
      <c r="D3" s="1055"/>
      <c r="E3" s="1056"/>
      <c r="F3" s="1135" t="s">
        <v>97</v>
      </c>
      <c r="G3" s="1135" t="s">
        <v>100</v>
      </c>
      <c r="H3" s="1135" t="s">
        <v>101</v>
      </c>
      <c r="I3" s="1146" t="s">
        <v>154</v>
      </c>
      <c r="J3" s="1147"/>
      <c r="K3" s="1041" t="s">
        <v>455</v>
      </c>
      <c r="L3" s="1041"/>
      <c r="M3" s="1041"/>
      <c r="N3" s="1041"/>
      <c r="O3" s="155" t="s">
        <v>44</v>
      </c>
      <c r="P3" s="1100" t="s">
        <v>174</v>
      </c>
      <c r="Q3" s="1101"/>
      <c r="R3" s="20" t="str">
        <f>'Модульные ограждения GL'!D39</f>
        <v>84*48*2500</v>
      </c>
      <c r="S3" s="20">
        <f>'Модульные ограждения GL'!E39</f>
        <v>154</v>
      </c>
      <c r="T3" s="20">
        <f>'Модульные ограждения GL'!F39</f>
        <v>3.3</v>
      </c>
      <c r="U3" s="566" t="str">
        <f>'Модульные ограждения GL'!G39</f>
        <v>полиэстер двс</v>
      </c>
      <c r="V3" s="566">
        <f>'Модульные ограждения GL'!H39</f>
        <v>1</v>
      </c>
      <c r="W3" s="20">
        <f>'Модульные ограждения GL'!I39</f>
        <v>544.95000000000005</v>
      </c>
    </row>
    <row r="4" spans="1:227" ht="28.5" customHeight="1">
      <c r="A4" s="1136"/>
      <c r="B4" s="1059"/>
      <c r="C4" s="1060"/>
      <c r="D4" s="1060"/>
      <c r="E4" s="1061"/>
      <c r="F4" s="1136"/>
      <c r="G4" s="1136"/>
      <c r="H4" s="1136"/>
      <c r="I4" s="1148"/>
      <c r="J4" s="1149"/>
      <c r="K4" s="1042" t="s">
        <v>171</v>
      </c>
      <c r="L4" s="1042"/>
      <c r="M4" s="1042"/>
      <c r="N4" s="1042"/>
      <c r="O4" s="156"/>
      <c r="P4" s="1104"/>
      <c r="Q4" s="1105"/>
      <c r="R4" s="20" t="str">
        <f>'Модульные ограждения GL'!D40</f>
        <v xml:space="preserve">84*48*3000 </v>
      </c>
      <c r="S4" s="20">
        <f>'Модульные ограждения GL'!E40</f>
        <v>0</v>
      </c>
      <c r="T4" s="20">
        <f>'Модульные ограждения GL'!F40</f>
        <v>3.96</v>
      </c>
      <c r="U4" s="567"/>
      <c r="V4" s="567"/>
      <c r="W4" s="20">
        <f>'Модульные ограждения GL'!I40</f>
        <v>654.15</v>
      </c>
    </row>
    <row r="5" spans="1:227" ht="45" customHeight="1">
      <c r="A5" s="1143"/>
      <c r="B5" s="1062" t="s">
        <v>294</v>
      </c>
      <c r="C5" s="1063"/>
      <c r="D5" s="1063"/>
      <c r="E5" s="1064"/>
      <c r="F5" s="313" t="s">
        <v>295</v>
      </c>
      <c r="G5" s="314" t="s">
        <v>78</v>
      </c>
      <c r="H5" s="315">
        <v>20.2</v>
      </c>
      <c r="I5" s="1139">
        <f>ROUND(O5*(1-$B$67),2)</f>
        <v>4439</v>
      </c>
      <c r="J5" s="1140"/>
      <c r="K5" s="1043">
        <f>(I5+W20+W28*2)/2.5</f>
        <v>2090.1799999999998</v>
      </c>
      <c r="L5" s="1044"/>
      <c r="M5" s="1044"/>
      <c r="N5" s="1045"/>
      <c r="O5" s="157">
        <v>4439</v>
      </c>
      <c r="P5" s="1019" t="s">
        <v>165</v>
      </c>
      <c r="Q5" s="1020"/>
      <c r="R5" s="546" t="str">
        <f>'Модульные ограждения GL'!D37</f>
        <v xml:space="preserve">60*20*2500 </v>
      </c>
      <c r="S5" s="546">
        <f>'Модульные ограждения GL'!E37</f>
        <v>162</v>
      </c>
      <c r="T5" s="546">
        <f>'Модульные ограждения GL'!F37</f>
        <v>3.3</v>
      </c>
      <c r="U5" s="546" t="str">
        <f>'Модульные ограждения GL'!G37</f>
        <v>полиэстер двс</v>
      </c>
      <c r="V5" s="546">
        <f>'Модульные ограждения GL'!H37</f>
        <v>1</v>
      </c>
      <c r="W5" s="546">
        <f>'Модульные ограждения GL'!I37</f>
        <v>544.95000000000005</v>
      </c>
      <c r="X5" s="154"/>
    </row>
    <row r="6" spans="1:227" ht="45" customHeight="1">
      <c r="A6" s="1144"/>
      <c r="B6" s="1065"/>
      <c r="C6" s="1066"/>
      <c r="D6" s="1066"/>
      <c r="E6" s="1067"/>
      <c r="F6" s="316" t="s">
        <v>43</v>
      </c>
      <c r="G6" s="317" t="s">
        <v>78</v>
      </c>
      <c r="H6" s="318">
        <v>27.63</v>
      </c>
      <c r="I6" s="1137">
        <f>ROUND(O6*(1-$B$67),2)</f>
        <v>5262</v>
      </c>
      <c r="J6" s="1138"/>
      <c r="K6" s="1046">
        <f>(I6+W23+W28*2)/2.5</f>
        <v>2481.96</v>
      </c>
      <c r="L6" s="1047"/>
      <c r="M6" s="1047"/>
      <c r="N6" s="1048"/>
      <c r="O6" s="157">
        <v>5262</v>
      </c>
      <c r="P6" s="1019" t="s">
        <v>181</v>
      </c>
      <c r="Q6" s="1020"/>
      <c r="R6" s="546" t="str">
        <f>'Модульные ограждения GL'!D44</f>
        <v>100*87*20</v>
      </c>
      <c r="S6" s="546">
        <f>'Модульные ограждения GL'!E44</f>
        <v>80</v>
      </c>
      <c r="T6" s="546">
        <f>'Модульные ограждения GL'!F44</f>
        <v>0.02</v>
      </c>
      <c r="U6" s="546" t="str">
        <f>'Модульные ограждения GL'!G44</f>
        <v xml:space="preserve">полимер </v>
      </c>
      <c r="V6" s="546">
        <f>'Модульные ограждения GL'!H44</f>
        <v>0.5</v>
      </c>
      <c r="W6" s="546">
        <f>'Модульные ограждения GL'!I44</f>
        <v>38.85</v>
      </c>
      <c r="X6" s="154"/>
    </row>
    <row r="7" spans="1:227" ht="45" customHeight="1">
      <c r="A7" s="1145"/>
      <c r="B7" s="1068"/>
      <c r="C7" s="1069"/>
      <c r="D7" s="1069"/>
      <c r="E7" s="1070"/>
      <c r="F7" s="319" t="s">
        <v>296</v>
      </c>
      <c r="G7" s="320" t="s">
        <v>78</v>
      </c>
      <c r="H7" s="321">
        <v>35.06</v>
      </c>
      <c r="I7" s="1141">
        <f>ROUND(O7*(1-$B$67),2)</f>
        <v>5648</v>
      </c>
      <c r="J7" s="1142"/>
      <c r="K7" s="1049">
        <f>(I7+W26+W28*2)/2.5</f>
        <v>2706.5</v>
      </c>
      <c r="L7" s="1050"/>
      <c r="M7" s="1050"/>
      <c r="N7" s="1051"/>
      <c r="O7" s="157">
        <v>5648</v>
      </c>
      <c r="P7" s="1100" t="s">
        <v>66</v>
      </c>
      <c r="Q7" s="1101"/>
      <c r="R7" s="169" t="str">
        <f>'Панельные ограждения GL (стр.1)'!B5</f>
        <v>0,63 х 2,5</v>
      </c>
      <c r="S7" s="135"/>
      <c r="T7" s="136"/>
      <c r="U7" s="136"/>
      <c r="V7" s="137"/>
      <c r="W7" s="251">
        <f>'Панельные ограждения GL (стр.1)'!H5</f>
        <v>879.9</v>
      </c>
      <c r="X7" s="154"/>
    </row>
    <row r="8" spans="1:227" ht="15" customHeight="1">
      <c r="A8" s="87"/>
      <c r="B8" s="85"/>
      <c r="C8" s="85"/>
      <c r="D8" s="85"/>
      <c r="E8" s="85"/>
      <c r="F8" s="86"/>
      <c r="G8" s="87"/>
      <c r="H8" s="88"/>
      <c r="I8" s="89"/>
      <c r="J8" s="89"/>
      <c r="L8" s="84"/>
      <c r="M8" s="84"/>
      <c r="N8" s="84"/>
      <c r="O8" s="156"/>
      <c r="P8" s="1104"/>
      <c r="Q8" s="1105"/>
      <c r="R8" s="169" t="str">
        <f>'Панельные ограждения GL (стр.1)'!B7</f>
        <v>1,03 х 2,5</v>
      </c>
      <c r="S8" s="135"/>
      <c r="T8" s="136"/>
      <c r="U8" s="136"/>
      <c r="V8" s="137"/>
      <c r="W8" s="251">
        <f>'Панельные ограждения GL (стр.1)'!H7</f>
        <v>1215.9000000000001</v>
      </c>
    </row>
    <row r="9" spans="1:227" ht="75" customHeight="1">
      <c r="A9" s="430" t="s">
        <v>147</v>
      </c>
      <c r="B9" s="1074" t="s">
        <v>136</v>
      </c>
      <c r="C9" s="1076"/>
      <c r="D9" s="1074" t="s">
        <v>65</v>
      </c>
      <c r="E9" s="1075"/>
      <c r="F9" s="1075"/>
      <c r="G9" s="1075"/>
      <c r="H9" s="1075"/>
      <c r="I9" s="1076"/>
      <c r="J9" s="430" t="s">
        <v>84</v>
      </c>
      <c r="K9" s="431" t="s">
        <v>110</v>
      </c>
      <c r="L9" s="431" t="s">
        <v>300</v>
      </c>
      <c r="M9" s="1079" t="s">
        <v>171</v>
      </c>
      <c r="N9" s="1080"/>
      <c r="O9" s="156"/>
      <c r="P9" s="1100" t="s">
        <v>298</v>
      </c>
      <c r="Q9" s="1101"/>
      <c r="R9" s="546" t="str">
        <f>'Панельные ограждения GL (стр.1)'!B22</f>
        <v>0,63 х 2,5</v>
      </c>
      <c r="S9" s="135"/>
      <c r="T9" s="136"/>
      <c r="U9" s="136"/>
      <c r="V9" s="137"/>
      <c r="W9" s="251">
        <f>'Панельные ограждения GL (стр.1)'!H22</f>
        <v>1309.3499999999999</v>
      </c>
      <c r="X9" s="100"/>
    </row>
    <row r="10" spans="1:227" ht="90" customHeight="1">
      <c r="A10" s="1201"/>
      <c r="B10" s="1150" t="s">
        <v>67</v>
      </c>
      <c r="C10" s="1151"/>
      <c r="D10" s="1215" t="s">
        <v>446</v>
      </c>
      <c r="E10" s="1215"/>
      <c r="F10" s="1215"/>
      <c r="G10" s="1215"/>
      <c r="H10" s="1215"/>
      <c r="I10" s="1215"/>
      <c r="J10" s="332" t="s">
        <v>66</v>
      </c>
      <c r="K10" s="1077" t="s">
        <v>391</v>
      </c>
      <c r="L10" s="1130" t="s">
        <v>392</v>
      </c>
      <c r="M10" s="1043">
        <f>ROUND(((W4+W5+W6+W8+W15*2)/2.5)*(1-$B$67),2)</f>
        <v>1060.5</v>
      </c>
      <c r="N10" s="1045"/>
      <c r="O10" s="156"/>
      <c r="P10" s="1102"/>
      <c r="Q10" s="1103"/>
      <c r="R10" s="546" t="str">
        <f>'Панельные ограждения GL (стр.1)'!B24</f>
        <v>1,03 х 2,5</v>
      </c>
      <c r="S10" s="138"/>
      <c r="T10" s="138"/>
      <c r="U10" s="138"/>
      <c r="V10" s="138"/>
      <c r="W10" s="251">
        <f>'Панельные ограждения GL (стр.1)'!H24</f>
        <v>1794.45</v>
      </c>
      <c r="X10" s="100"/>
    </row>
    <row r="11" spans="1:227" ht="90" customHeight="1">
      <c r="A11" s="1201"/>
      <c r="B11" s="1152"/>
      <c r="C11" s="1153"/>
      <c r="D11" s="1215"/>
      <c r="E11" s="1215"/>
      <c r="F11" s="1215"/>
      <c r="G11" s="1215"/>
      <c r="H11" s="1215"/>
      <c r="I11" s="1215"/>
      <c r="J11" s="333" t="s">
        <v>32</v>
      </c>
      <c r="K11" s="1078"/>
      <c r="L11" s="1131"/>
      <c r="M11" s="1049">
        <f>ROUND(((W4+W5+W6+W10+W15*2)/2.5)*(1-$B$67),2)</f>
        <v>1291.92</v>
      </c>
      <c r="N11" s="1051"/>
      <c r="O11" s="156"/>
      <c r="P11" s="1104"/>
      <c r="Q11" s="1105"/>
      <c r="R11" s="546"/>
      <c r="S11" s="138"/>
      <c r="T11" s="138"/>
      <c r="U11" s="138"/>
      <c r="V11" s="138"/>
      <c r="W11" s="251"/>
      <c r="X11" s="100"/>
    </row>
    <row r="12" spans="1:227" ht="75" customHeight="1">
      <c r="A12" s="1201"/>
      <c r="B12" s="1152"/>
      <c r="C12" s="1153"/>
      <c r="D12" s="1215" t="s">
        <v>447</v>
      </c>
      <c r="E12" s="1215"/>
      <c r="F12" s="1215"/>
      <c r="G12" s="1215"/>
      <c r="H12" s="1215"/>
      <c r="I12" s="1215"/>
      <c r="J12" s="332" t="s">
        <v>66</v>
      </c>
      <c r="K12" s="1077" t="s">
        <v>156</v>
      </c>
      <c r="L12" s="1130" t="s">
        <v>390</v>
      </c>
      <c r="M12" s="1043">
        <f>ROUND(((W7+W13+W29+W12+(W15*2))/2.5)*(1-$B$67),2)</f>
        <v>947.1</v>
      </c>
      <c r="N12" s="1045"/>
      <c r="O12" s="156"/>
      <c r="P12" s="1019" t="s">
        <v>48</v>
      </c>
      <c r="Q12" s="1020"/>
      <c r="R12" s="546" t="s">
        <v>49</v>
      </c>
      <c r="S12" s="546">
        <f>'Эл-ты панельных ограждений - 1'!H24</f>
        <v>96</v>
      </c>
      <c r="T12" s="547">
        <f>'Эл-ты панельных ограждений - 1'!G24</f>
        <v>2.71</v>
      </c>
      <c r="U12" s="136"/>
      <c r="V12" s="137"/>
      <c r="W12" s="251">
        <f>'Эл-ты панельных ограждений - 1'!I25</f>
        <v>551.25</v>
      </c>
      <c r="X12" s="100"/>
    </row>
    <row r="13" spans="1:227" ht="75" customHeight="1">
      <c r="A13" s="1201"/>
      <c r="B13" s="1154"/>
      <c r="C13" s="1155"/>
      <c r="D13" s="1215"/>
      <c r="E13" s="1215"/>
      <c r="F13" s="1215"/>
      <c r="G13" s="1215"/>
      <c r="H13" s="1215"/>
      <c r="I13" s="1215"/>
      <c r="J13" s="333" t="s">
        <v>32</v>
      </c>
      <c r="K13" s="1078"/>
      <c r="L13" s="1131"/>
      <c r="M13" s="1049">
        <f>ROUND(((W9+W13+W14+W12+(W15*2))/2.5)*(1-$B$67),2)</f>
        <v>1153.24</v>
      </c>
      <c r="N13" s="1051"/>
      <c r="O13" s="156"/>
      <c r="P13" s="1019" t="s">
        <v>47</v>
      </c>
      <c r="Q13" s="1020"/>
      <c r="R13" s="546" t="str">
        <f>'Модульные ограждения GL'!D25</f>
        <v xml:space="preserve">40*20*2500  </v>
      </c>
      <c r="S13" s="546">
        <f>'Модульные ограждения GL'!E25</f>
        <v>180</v>
      </c>
      <c r="T13" s="546">
        <f>'Модульные ограждения GL'!F25</f>
        <v>2.4500000000000002</v>
      </c>
      <c r="U13" s="546" t="str">
        <f>'Модульные ограждения GL'!G25</f>
        <v xml:space="preserve">полимер </v>
      </c>
      <c r="V13" s="546">
        <f>'Модульные ограждения GL'!H25</f>
        <v>0</v>
      </c>
      <c r="W13" s="546">
        <f>'Модульные ограждения GL'!I25</f>
        <v>469.35</v>
      </c>
      <c r="X13" s="100"/>
    </row>
    <row r="14" spans="1:227" ht="15" customHeight="1">
      <c r="A14" s="55"/>
      <c r="B14" s="53"/>
      <c r="C14" s="53"/>
      <c r="D14" s="53"/>
      <c r="E14" s="53"/>
      <c r="F14" s="54"/>
      <c r="G14" s="55"/>
      <c r="H14" s="56"/>
      <c r="I14" s="56"/>
      <c r="J14" s="57"/>
      <c r="L14" s="57"/>
      <c r="M14" s="57"/>
      <c r="N14" s="57"/>
      <c r="O14" s="156"/>
      <c r="P14" s="1019" t="s">
        <v>51</v>
      </c>
      <c r="Q14" s="1106"/>
      <c r="R14" s="1106"/>
      <c r="S14" s="1106"/>
      <c r="T14" s="1106"/>
      <c r="U14" s="1106"/>
      <c r="V14" s="1020"/>
      <c r="W14" s="251">
        <f>(W9+W13)*0.2</f>
        <v>355.74</v>
      </c>
      <c r="X14" s="100"/>
    </row>
    <row r="15" spans="1:227" ht="50.1" customHeight="1">
      <c r="A15" s="431" t="s">
        <v>147</v>
      </c>
      <c r="B15" s="1074" t="s">
        <v>136</v>
      </c>
      <c r="C15" s="1075"/>
      <c r="D15" s="1076"/>
      <c r="E15" s="1074" t="s">
        <v>4</v>
      </c>
      <c r="F15" s="1076"/>
      <c r="G15" s="1074" t="s">
        <v>406</v>
      </c>
      <c r="H15" s="1076"/>
      <c r="I15" s="1074" t="s">
        <v>98</v>
      </c>
      <c r="J15" s="1076"/>
      <c r="K15" s="431" t="s">
        <v>99</v>
      </c>
      <c r="L15" s="549" t="s">
        <v>60</v>
      </c>
      <c r="M15" s="1079" t="s">
        <v>104</v>
      </c>
      <c r="N15" s="1080"/>
      <c r="O15" s="156"/>
      <c r="P15" s="891" t="s">
        <v>218</v>
      </c>
      <c r="Q15" s="892"/>
      <c r="R15" s="544" t="s">
        <v>78</v>
      </c>
      <c r="S15" s="545"/>
      <c r="T15" s="121">
        <f>'Эл-ты панельных ограждений - 1'!G53</f>
        <v>0.08</v>
      </c>
      <c r="U15" s="543">
        <f>'Эл-ты панельных ограждений - 1'!H53</f>
        <v>100</v>
      </c>
      <c r="V15" s="543">
        <f>'Эл-ты панельных ограждений - 1'!I53</f>
        <v>98.7</v>
      </c>
      <c r="W15" s="127">
        <f>'Эл-ты панельных ограждений - 1'!J53</f>
        <v>98.7</v>
      </c>
      <c r="X15" s="100"/>
    </row>
    <row r="16" spans="1:227" ht="24.9" customHeight="1">
      <c r="A16" s="335"/>
      <c r="B16" s="1150" t="s">
        <v>299</v>
      </c>
      <c r="C16" s="1151"/>
      <c r="D16" s="323" t="s">
        <v>255</v>
      </c>
      <c r="E16" s="1208" t="s">
        <v>5</v>
      </c>
      <c r="F16" s="1209"/>
      <c r="G16" s="1071">
        <v>3</v>
      </c>
      <c r="H16" s="1073"/>
      <c r="I16" s="1057" t="s">
        <v>108</v>
      </c>
      <c r="J16" s="1058"/>
      <c r="K16" s="578" t="s">
        <v>109</v>
      </c>
      <c r="L16" s="579">
        <v>73</v>
      </c>
      <c r="M16" s="1216">
        <f>ROUND(15600*(1-$B$67),2)</f>
        <v>15600</v>
      </c>
      <c r="N16" s="1217"/>
      <c r="O16" s="156"/>
      <c r="P16" s="891" t="s">
        <v>45</v>
      </c>
      <c r="Q16" s="892"/>
      <c r="R16" s="138"/>
      <c r="S16" s="138"/>
      <c r="T16" s="121">
        <f>'Эл-ты панельных ограждений - 1'!G50</f>
        <v>0.05</v>
      </c>
      <c r="U16" s="121">
        <v>0.05</v>
      </c>
      <c r="V16" s="121"/>
      <c r="W16" s="127">
        <f>'Эл-ты панельных ограждений - 1'!J50</f>
        <v>56.7</v>
      </c>
      <c r="X16" s="100"/>
    </row>
    <row r="17" spans="1:25" ht="24.9" customHeight="1">
      <c r="A17" s="497"/>
      <c r="B17" s="1152"/>
      <c r="C17" s="1153"/>
      <c r="D17" s="1124" t="s">
        <v>403</v>
      </c>
      <c r="E17" s="1208"/>
      <c r="F17" s="1209"/>
      <c r="G17" s="1202">
        <v>2.1</v>
      </c>
      <c r="H17" s="1203"/>
      <c r="I17" s="1162" t="s">
        <v>102</v>
      </c>
      <c r="J17" s="1163"/>
      <c r="K17" s="575" t="s">
        <v>105</v>
      </c>
      <c r="L17" s="577"/>
      <c r="M17" s="1133">
        <f>ROUND(3800*(1-$B$67),2)</f>
        <v>3800</v>
      </c>
      <c r="N17" s="1134"/>
      <c r="O17" s="156"/>
      <c r="P17" s="1100" t="s">
        <v>56</v>
      </c>
      <c r="Q17" s="1101"/>
      <c r="R17" s="546" t="s">
        <v>81</v>
      </c>
      <c r="S17" s="546">
        <v>96</v>
      </c>
      <c r="T17" s="547">
        <v>2.64</v>
      </c>
      <c r="U17" s="545" t="s">
        <v>234</v>
      </c>
      <c r="V17" s="548">
        <v>1.4</v>
      </c>
      <c r="W17" s="251">
        <f>'Эл-ты панельных ограждений - 1'!I4</f>
        <v>354.9</v>
      </c>
      <c r="X17" s="100"/>
    </row>
    <row r="18" spans="1:25" ht="24.9" customHeight="1">
      <c r="A18" s="335"/>
      <c r="B18" s="1152"/>
      <c r="C18" s="1153"/>
      <c r="D18" s="1156"/>
      <c r="E18" s="1208"/>
      <c r="F18" s="1209"/>
      <c r="G18" s="1204">
        <v>2.1</v>
      </c>
      <c r="H18" s="1205"/>
      <c r="I18" s="1158" t="s">
        <v>106</v>
      </c>
      <c r="J18" s="1159"/>
      <c r="K18" s="325" t="s">
        <v>105</v>
      </c>
      <c r="L18" s="550"/>
      <c r="M18" s="1108">
        <f>ROUND(5290*(1-$B$67),2)</f>
        <v>5290</v>
      </c>
      <c r="N18" s="1109"/>
      <c r="O18" s="156"/>
      <c r="P18" s="1102"/>
      <c r="Q18" s="1103"/>
      <c r="R18" s="546"/>
      <c r="S18" s="546"/>
      <c r="T18" s="547"/>
      <c r="U18" s="547" t="s">
        <v>233</v>
      </c>
      <c r="V18" s="548"/>
      <c r="W18" s="251">
        <f>'Эл-ты панельных ограждений - 1'!I24</f>
        <v>472.5</v>
      </c>
      <c r="X18" s="100"/>
      <c r="Y18" s="101"/>
    </row>
    <row r="19" spans="1:25" ht="24.9" customHeight="1">
      <c r="A19" s="335"/>
      <c r="B19" s="1152"/>
      <c r="C19" s="1153"/>
      <c r="D19" s="1156"/>
      <c r="E19" s="1208"/>
      <c r="F19" s="1209"/>
      <c r="G19" s="1204">
        <v>2.1</v>
      </c>
      <c r="H19" s="1205"/>
      <c r="I19" s="1158" t="s">
        <v>107</v>
      </c>
      <c r="J19" s="1159"/>
      <c r="K19" s="325" t="s">
        <v>105</v>
      </c>
      <c r="L19" s="550">
        <v>28</v>
      </c>
      <c r="M19" s="1110">
        <f>ROUND(6260*(1-$B$67),2)</f>
        <v>6260</v>
      </c>
      <c r="N19" s="1111"/>
      <c r="O19" s="156"/>
      <c r="P19" s="1102"/>
      <c r="Q19" s="1103"/>
      <c r="R19" s="546"/>
      <c r="S19" s="546"/>
      <c r="T19" s="547"/>
      <c r="U19" s="547"/>
      <c r="V19" s="548"/>
      <c r="W19" s="251"/>
      <c r="X19" s="100"/>
      <c r="Y19" s="101"/>
    </row>
    <row r="20" spans="1:25" ht="24.9" customHeight="1">
      <c r="A20" s="335"/>
      <c r="B20" s="1154"/>
      <c r="C20" s="1155"/>
      <c r="D20" s="1157"/>
      <c r="E20" s="1210"/>
      <c r="F20" s="1211"/>
      <c r="G20" s="1206">
        <v>2.1</v>
      </c>
      <c r="H20" s="1207"/>
      <c r="I20" s="1160" t="s">
        <v>108</v>
      </c>
      <c r="J20" s="1161"/>
      <c r="K20" s="324" t="s">
        <v>105</v>
      </c>
      <c r="L20" s="551">
        <v>31.2</v>
      </c>
      <c r="M20" s="1112">
        <f>ROUND(6900*(1-$B$67),2)</f>
        <v>6900</v>
      </c>
      <c r="N20" s="1113"/>
      <c r="O20" s="156"/>
      <c r="P20" s="1102"/>
      <c r="Q20" s="1103"/>
      <c r="R20" s="546" t="s">
        <v>29</v>
      </c>
      <c r="S20" s="546"/>
      <c r="T20" s="547"/>
      <c r="U20" s="547" t="s">
        <v>233</v>
      </c>
      <c r="V20" s="548"/>
      <c r="W20" s="251">
        <f>'Эл-ты панельных ограждений - 1'!I27</f>
        <v>687.75</v>
      </c>
      <c r="X20" s="100"/>
      <c r="Y20" s="101"/>
    </row>
    <row r="21" spans="1:25" ht="50.1" customHeight="1">
      <c r="A21" s="326"/>
      <c r="B21" s="1212" t="s">
        <v>244</v>
      </c>
      <c r="C21" s="1213"/>
      <c r="D21" s="1213"/>
      <c r="E21" s="1213"/>
      <c r="F21" s="1214"/>
      <c r="G21" s="1071" t="s">
        <v>78</v>
      </c>
      <c r="H21" s="1072"/>
      <c r="I21" s="1072"/>
      <c r="J21" s="1072"/>
      <c r="K21" s="1072"/>
      <c r="L21" s="1073"/>
      <c r="M21" s="1114">
        <f>ROUND(22*(1-$B$67),2)</f>
        <v>22</v>
      </c>
      <c r="N21" s="1115"/>
      <c r="O21" s="156"/>
      <c r="P21" s="1102"/>
      <c r="Q21" s="1103"/>
      <c r="R21" s="546" t="s">
        <v>151</v>
      </c>
      <c r="S21" s="546"/>
      <c r="T21" s="547">
        <v>5.28</v>
      </c>
      <c r="U21" s="545" t="s">
        <v>234</v>
      </c>
      <c r="V21" s="548"/>
      <c r="W21" s="251">
        <f>'Эл-ты панельных ограждений - 1'!I11</f>
        <v>591.15</v>
      </c>
      <c r="X21" s="100"/>
      <c r="Y21" s="101"/>
    </row>
    <row r="22" spans="1:25" ht="15" customHeight="1">
      <c r="A22" s="73"/>
      <c r="B22" s="73"/>
      <c r="C22" s="73"/>
      <c r="D22" s="73"/>
      <c r="E22" s="73"/>
      <c r="F22" s="73"/>
      <c r="G22" s="73"/>
      <c r="H22" s="73"/>
      <c r="I22" s="73"/>
      <c r="J22" s="74"/>
      <c r="K22" s="55"/>
      <c r="L22" s="55"/>
      <c r="M22" s="55"/>
      <c r="N22" s="80"/>
      <c r="O22" s="156"/>
      <c r="P22" s="1102"/>
      <c r="Q22" s="1103"/>
      <c r="R22" s="546"/>
      <c r="S22" s="546"/>
      <c r="T22" s="547"/>
      <c r="U22" s="545"/>
      <c r="V22" s="548"/>
      <c r="W22" s="251"/>
      <c r="X22" s="100"/>
      <c r="Y22" s="101"/>
    </row>
    <row r="23" spans="1:25" ht="50.1" customHeight="1">
      <c r="A23" s="431" t="s">
        <v>147</v>
      </c>
      <c r="B23" s="1054" t="s">
        <v>136</v>
      </c>
      <c r="C23" s="1055"/>
      <c r="D23" s="1055"/>
      <c r="E23" s="1055"/>
      <c r="F23" s="1055"/>
      <c r="G23" s="1056"/>
      <c r="H23" s="1074" t="s">
        <v>110</v>
      </c>
      <c r="I23" s="1076"/>
      <c r="J23" s="431" t="s">
        <v>111</v>
      </c>
      <c r="K23" s="1229" t="s">
        <v>160</v>
      </c>
      <c r="L23" s="1229"/>
      <c r="M23" s="1079" t="s">
        <v>104</v>
      </c>
      <c r="N23" s="1080"/>
      <c r="O23" s="156"/>
      <c r="P23" s="1102"/>
      <c r="Q23" s="1103"/>
      <c r="R23" s="546"/>
      <c r="S23" s="546"/>
      <c r="T23" s="547"/>
      <c r="U23" s="547" t="s">
        <v>233</v>
      </c>
      <c r="V23" s="548"/>
      <c r="W23" s="251">
        <f>'Эл-ты панельных ограждений - 1'!I31</f>
        <v>844.2</v>
      </c>
      <c r="X23" s="100"/>
      <c r="Y23" s="101"/>
    </row>
    <row r="24" spans="1:25" ht="50.1" customHeight="1">
      <c r="A24" s="1164"/>
      <c r="B24" s="1120" t="s">
        <v>292</v>
      </c>
      <c r="C24" s="1121"/>
      <c r="D24" s="1121"/>
      <c r="E24" s="1182" t="s">
        <v>453</v>
      </c>
      <c r="F24" s="1182"/>
      <c r="G24" s="1182"/>
      <c r="H24" s="1180" t="s">
        <v>451</v>
      </c>
      <c r="I24" s="1181"/>
      <c r="J24" s="327">
        <v>7</v>
      </c>
      <c r="K24" s="1230">
        <v>70</v>
      </c>
      <c r="L24" s="1230"/>
      <c r="M24" s="1227">
        <f>ROUND((N25*2+N24),0)</f>
        <v>2512</v>
      </c>
      <c r="N24" s="576">
        <f>ROUND(O24*(1-$B$67),2)</f>
        <v>1530</v>
      </c>
      <c r="O24" s="157">
        <v>1530</v>
      </c>
      <c r="P24" s="1102"/>
      <c r="Q24" s="1103"/>
      <c r="R24" s="546"/>
      <c r="S24" s="546"/>
      <c r="T24" s="547"/>
      <c r="U24" s="547"/>
      <c r="V24" s="548"/>
      <c r="W24" s="251"/>
      <c r="X24" s="100"/>
      <c r="Y24" s="101"/>
    </row>
    <row r="25" spans="1:25" ht="50.1" customHeight="1">
      <c r="A25" s="1165"/>
      <c r="B25" s="1122"/>
      <c r="C25" s="1123"/>
      <c r="D25" s="1123"/>
      <c r="E25" s="1182" t="s">
        <v>454</v>
      </c>
      <c r="F25" s="1182"/>
      <c r="G25" s="1182"/>
      <c r="H25" s="1180" t="s">
        <v>452</v>
      </c>
      <c r="I25" s="1181"/>
      <c r="J25" s="327">
        <v>3.2</v>
      </c>
      <c r="K25" s="1230">
        <v>140</v>
      </c>
      <c r="L25" s="1230"/>
      <c r="M25" s="1227"/>
      <c r="N25" s="576">
        <f>ROUND(O25*(1-$B$67),2)</f>
        <v>491</v>
      </c>
      <c r="O25" s="157">
        <v>491</v>
      </c>
      <c r="P25" s="1102"/>
      <c r="Q25" s="1103"/>
      <c r="R25" s="546"/>
      <c r="S25" s="546"/>
      <c r="T25" s="547"/>
      <c r="U25" s="547"/>
      <c r="V25" s="548"/>
      <c r="W25" s="251"/>
      <c r="X25" s="100"/>
      <c r="Y25" s="101"/>
    </row>
    <row r="26" spans="1:25" ht="50.1" customHeight="1">
      <c r="A26" s="1130"/>
      <c r="B26" s="1221" t="s">
        <v>64</v>
      </c>
      <c r="C26" s="1221"/>
      <c r="D26" s="1221"/>
      <c r="E26" s="1221"/>
      <c r="F26" s="1221"/>
      <c r="G26" s="1221"/>
      <c r="H26" s="1168" t="s">
        <v>448</v>
      </c>
      <c r="I26" s="1169"/>
      <c r="J26" s="328">
        <v>23</v>
      </c>
      <c r="K26" s="1231">
        <v>40</v>
      </c>
      <c r="L26" s="1231"/>
      <c r="M26" s="1228">
        <f>ROUND(O26*(1-$B$67),2)</f>
        <v>665</v>
      </c>
      <c r="N26" s="1228"/>
      <c r="O26" s="157">
        <v>665</v>
      </c>
      <c r="P26" s="1102"/>
      <c r="Q26" s="1103"/>
      <c r="R26" s="546" t="s">
        <v>30</v>
      </c>
      <c r="S26" s="546"/>
      <c r="T26" s="547">
        <v>6.6</v>
      </c>
      <c r="U26" s="545" t="s">
        <v>233</v>
      </c>
      <c r="V26" s="548"/>
      <c r="W26" s="251">
        <f>'Эл-ты панельных ограждений - 1'!I35</f>
        <v>1019.55</v>
      </c>
      <c r="X26" s="100"/>
      <c r="Y26" s="101"/>
    </row>
    <row r="27" spans="1:25" ht="50.1" customHeight="1">
      <c r="A27" s="1131"/>
      <c r="B27" s="1221" t="s">
        <v>393</v>
      </c>
      <c r="C27" s="1221"/>
      <c r="D27" s="1221"/>
      <c r="E27" s="1221"/>
      <c r="F27" s="1221"/>
      <c r="G27" s="1221"/>
      <c r="H27" s="1170"/>
      <c r="I27" s="1171"/>
      <c r="J27" s="328">
        <v>31</v>
      </c>
      <c r="K27" s="1231">
        <v>36</v>
      </c>
      <c r="L27" s="1231"/>
      <c r="M27" s="1228">
        <f>ROUND(O27*(1-$B$67),2)</f>
        <v>705</v>
      </c>
      <c r="N27" s="1228"/>
      <c r="O27" s="157">
        <v>705</v>
      </c>
      <c r="P27" s="1104"/>
      <c r="Q27" s="1105"/>
      <c r="R27" s="546" t="s">
        <v>46</v>
      </c>
      <c r="S27" s="546"/>
      <c r="T27" s="136">
        <v>6.7</v>
      </c>
      <c r="U27" s="547" t="s">
        <v>233</v>
      </c>
      <c r="V27" s="548"/>
      <c r="W27" s="251">
        <f>'Эл-ты панельных ограждений - 1'!I37</f>
        <v>1224.3</v>
      </c>
      <c r="X27" s="100"/>
      <c r="Y27" s="101"/>
    </row>
    <row r="28" spans="1:25" ht="50.1" customHeight="1">
      <c r="A28" s="329"/>
      <c r="B28" s="1222" t="s">
        <v>226</v>
      </c>
      <c r="C28" s="1222"/>
      <c r="D28" s="1222"/>
      <c r="E28" s="1222"/>
      <c r="F28" s="1222"/>
      <c r="G28" s="1222"/>
      <c r="H28" s="1178" t="s">
        <v>78</v>
      </c>
      <c r="I28" s="1179"/>
      <c r="J28" s="328" t="s">
        <v>78</v>
      </c>
      <c r="K28" s="1231" t="s">
        <v>78</v>
      </c>
      <c r="L28" s="1231"/>
      <c r="M28" s="1228">
        <f>ROUND(O28*(1-$B$67),2)</f>
        <v>74</v>
      </c>
      <c r="N28" s="1228"/>
      <c r="O28" s="157">
        <v>74</v>
      </c>
      <c r="P28" s="1019" t="s">
        <v>186</v>
      </c>
      <c r="Q28" s="1020"/>
      <c r="R28" s="546" t="str">
        <f>'Модульные ограждения GL'!D46</f>
        <v>60*20*110</v>
      </c>
      <c r="S28" s="546">
        <f>'Модульные ограждения GL'!E46</f>
        <v>100</v>
      </c>
      <c r="T28" s="546">
        <f>'Модульные ограждения GL'!F46</f>
        <v>0.13700000000000001</v>
      </c>
      <c r="U28" s="546" t="str">
        <f>'Модульные ограждения GL'!G46</f>
        <v>цинк Zn</v>
      </c>
      <c r="V28" s="546">
        <f>'Модульные ограждения GL'!H46</f>
        <v>1.4</v>
      </c>
      <c r="W28" s="546">
        <f>'Модульные ограждения GL'!I46</f>
        <v>49.35</v>
      </c>
      <c r="X28" s="100"/>
      <c r="Y28" s="101"/>
    </row>
    <row r="29" spans="1:25" ht="15" customHeight="1">
      <c r="A29" s="76"/>
      <c r="B29" s="75"/>
      <c r="C29" s="81"/>
      <c r="D29" s="81"/>
      <c r="E29" s="81"/>
      <c r="F29" s="81"/>
      <c r="G29" s="81"/>
      <c r="H29" s="82"/>
      <c r="I29" s="82"/>
      <c r="J29" s="54"/>
      <c r="K29" s="55"/>
      <c r="L29" s="56"/>
      <c r="M29" s="83"/>
      <c r="N29" s="59"/>
      <c r="O29" s="156"/>
      <c r="P29" s="1019" t="s">
        <v>50</v>
      </c>
      <c r="Q29" s="1106"/>
      <c r="R29" s="1106"/>
      <c r="S29" s="1106"/>
      <c r="T29" s="1106"/>
      <c r="U29" s="1106"/>
      <c r="V29" s="1020"/>
      <c r="W29" s="251">
        <f>(W7+W13)*0.2</f>
        <v>269.85000000000002</v>
      </c>
    </row>
    <row r="30" spans="1:25" ht="50.1" customHeight="1">
      <c r="A30" s="1054" t="s">
        <v>147</v>
      </c>
      <c r="B30" s="1055"/>
      <c r="C30" s="1055"/>
      <c r="D30" s="1233" t="s">
        <v>136</v>
      </c>
      <c r="E30" s="1233"/>
      <c r="F30" s="1054" t="s">
        <v>94</v>
      </c>
      <c r="G30" s="1056"/>
      <c r="H30" s="1054" t="s">
        <v>297</v>
      </c>
      <c r="I30" s="1054" t="s">
        <v>211</v>
      </c>
      <c r="J30" s="1055"/>
      <c r="K30" s="1056"/>
      <c r="L30" s="1098" t="s">
        <v>160</v>
      </c>
      <c r="M30" s="1074" t="s">
        <v>155</v>
      </c>
      <c r="N30" s="1076"/>
      <c r="O30" s="156"/>
    </row>
    <row r="31" spans="1:25" ht="50.1" customHeight="1">
      <c r="A31" s="1059"/>
      <c r="B31" s="1060"/>
      <c r="C31" s="1060"/>
      <c r="D31" s="1233"/>
      <c r="E31" s="1233"/>
      <c r="F31" s="1059"/>
      <c r="G31" s="1061"/>
      <c r="H31" s="1059"/>
      <c r="I31" s="1059"/>
      <c r="J31" s="1060"/>
      <c r="K31" s="1061"/>
      <c r="L31" s="1099"/>
      <c r="M31" s="432" t="s">
        <v>236</v>
      </c>
      <c r="N31" s="433" t="s">
        <v>237</v>
      </c>
      <c r="O31" s="156"/>
    </row>
    <row r="32" spans="1:25" ht="50.1" customHeight="1">
      <c r="A32" s="554"/>
      <c r="B32" s="555"/>
      <c r="C32" s="555"/>
      <c r="D32" s="1221" t="s">
        <v>425</v>
      </c>
      <c r="E32" s="1221"/>
      <c r="F32" s="1057" t="s">
        <v>415</v>
      </c>
      <c r="G32" s="1058"/>
      <c r="H32" s="553" t="s">
        <v>404</v>
      </c>
      <c r="I32" s="1057" t="s">
        <v>172</v>
      </c>
      <c r="J32" s="1116"/>
      <c r="K32" s="1058"/>
      <c r="L32" s="1130">
        <v>10</v>
      </c>
      <c r="M32" s="524">
        <f t="shared" ref="M32:N36" si="0">ROUND(O32*(1-$G$67),2)</f>
        <v>77</v>
      </c>
      <c r="N32" s="331">
        <f t="shared" si="0"/>
        <v>80</v>
      </c>
      <c r="O32" s="157">
        <v>77</v>
      </c>
      <c r="P32" s="336">
        <v>80</v>
      </c>
      <c r="Q32" s="568"/>
      <c r="R32" s="568"/>
    </row>
    <row r="33" spans="1:20" ht="50.1" customHeight="1">
      <c r="A33" s="556"/>
      <c r="B33" s="525"/>
      <c r="C33" s="525"/>
      <c r="D33" s="1221"/>
      <c r="E33" s="1221"/>
      <c r="F33" s="1096" t="s">
        <v>293</v>
      </c>
      <c r="G33" s="1097"/>
      <c r="H33" s="553" t="s">
        <v>405</v>
      </c>
      <c r="I33" s="1175" t="s">
        <v>449</v>
      </c>
      <c r="J33" s="1176"/>
      <c r="K33" s="1177"/>
      <c r="L33" s="1186"/>
      <c r="M33" s="330">
        <f t="shared" si="0"/>
        <v>93</v>
      </c>
      <c r="N33" s="331">
        <f t="shared" si="0"/>
        <v>97</v>
      </c>
      <c r="O33" s="157">
        <v>93</v>
      </c>
      <c r="P33" s="336">
        <v>97</v>
      </c>
      <c r="Q33" s="568"/>
      <c r="R33" s="568"/>
    </row>
    <row r="34" spans="1:20" ht="50.1" customHeight="1">
      <c r="A34" s="552"/>
      <c r="B34" s="77"/>
      <c r="C34" s="77"/>
      <c r="D34" s="1221"/>
      <c r="E34" s="1221"/>
      <c r="F34" s="1096" t="s">
        <v>238</v>
      </c>
      <c r="G34" s="1097"/>
      <c r="H34" s="553" t="s">
        <v>405</v>
      </c>
      <c r="I34" s="1057" t="s">
        <v>172</v>
      </c>
      <c r="J34" s="1116"/>
      <c r="K34" s="1058"/>
      <c r="L34" s="1186"/>
      <c r="M34" s="331">
        <f t="shared" si="0"/>
        <v>95</v>
      </c>
      <c r="N34" s="331">
        <f t="shared" si="0"/>
        <v>99</v>
      </c>
      <c r="O34" s="157">
        <v>95</v>
      </c>
      <c r="P34" s="336">
        <v>99</v>
      </c>
      <c r="Q34" s="568"/>
      <c r="R34" s="568"/>
    </row>
    <row r="35" spans="1:20" ht="50.1" customHeight="1">
      <c r="A35" s="552"/>
      <c r="B35" s="77"/>
      <c r="C35" s="77"/>
      <c r="D35" s="1221"/>
      <c r="E35" s="1221"/>
      <c r="F35" s="1096" t="s">
        <v>239</v>
      </c>
      <c r="G35" s="1097"/>
      <c r="H35" s="553" t="s">
        <v>405</v>
      </c>
      <c r="I35" s="1057" t="s">
        <v>31</v>
      </c>
      <c r="J35" s="1116"/>
      <c r="K35" s="1058"/>
      <c r="L35" s="1186"/>
      <c r="M35" s="331">
        <f t="shared" si="0"/>
        <v>205</v>
      </c>
      <c r="N35" s="331">
        <f t="shared" si="0"/>
        <v>209</v>
      </c>
      <c r="O35" s="157">
        <v>205</v>
      </c>
      <c r="P35" s="336">
        <v>209</v>
      </c>
      <c r="Q35" s="568"/>
      <c r="R35" s="568"/>
    </row>
    <row r="36" spans="1:20" ht="50.1" customHeight="1">
      <c r="A36" s="557"/>
      <c r="B36" s="334"/>
      <c r="C36" s="334"/>
      <c r="D36" s="1221"/>
      <c r="E36" s="1221"/>
      <c r="F36" s="1096" t="s">
        <v>407</v>
      </c>
      <c r="G36" s="1097"/>
      <c r="H36" s="553" t="s">
        <v>405</v>
      </c>
      <c r="I36" s="1175" t="s">
        <v>450</v>
      </c>
      <c r="J36" s="1176"/>
      <c r="K36" s="1177"/>
      <c r="L36" s="1131"/>
      <c r="M36" s="331">
        <f t="shared" si="0"/>
        <v>127</v>
      </c>
      <c r="N36" s="331">
        <f t="shared" si="0"/>
        <v>130</v>
      </c>
      <c r="O36" s="157">
        <v>127</v>
      </c>
      <c r="P36" s="336">
        <v>130</v>
      </c>
      <c r="Q36" s="568"/>
      <c r="R36" s="568"/>
    </row>
    <row r="37" spans="1:20" ht="24.9" customHeight="1">
      <c r="A37" s="1198" t="s">
        <v>256</v>
      </c>
      <c r="B37" s="1199"/>
      <c r="C37" s="1199"/>
      <c r="D37" s="1199"/>
      <c r="E37" s="1199"/>
      <c r="F37" s="1199"/>
      <c r="G37" s="1199"/>
      <c r="H37" s="1200"/>
      <c r="I37" s="1096" t="s">
        <v>444</v>
      </c>
      <c r="J37" s="1185"/>
      <c r="K37" s="1097"/>
      <c r="L37" s="322">
        <v>250</v>
      </c>
      <c r="M37" s="1132">
        <f>ROUND(O37*(1-$M$67),2)</f>
        <v>4.2</v>
      </c>
      <c r="N37" s="1132"/>
      <c r="O37" s="701">
        <v>4.2</v>
      </c>
      <c r="Q37" s="568"/>
      <c r="R37" s="568"/>
    </row>
    <row r="38" spans="1:20" ht="50.1" customHeight="1">
      <c r="A38" s="523" t="s">
        <v>8</v>
      </c>
      <c r="B38" s="558"/>
      <c r="C38" s="558"/>
      <c r="D38" s="558"/>
      <c r="E38" s="559"/>
      <c r="F38" s="560"/>
      <c r="G38" s="560"/>
      <c r="H38" s="560"/>
      <c r="I38" s="560"/>
      <c r="J38" s="560"/>
      <c r="K38" s="560"/>
      <c r="L38" s="563"/>
      <c r="M38" s="564"/>
      <c r="N38" s="565"/>
      <c r="Q38" s="568"/>
      <c r="R38" s="568"/>
    </row>
    <row r="39" spans="1:20" ht="44.1" customHeight="1">
      <c r="A39" s="1223" t="s">
        <v>417</v>
      </c>
      <c r="B39" s="1223"/>
      <c r="C39" s="1223"/>
      <c r="D39" s="1223"/>
      <c r="E39" s="1223"/>
      <c r="F39" s="1223"/>
      <c r="G39" s="1197" t="s">
        <v>428</v>
      </c>
      <c r="H39" s="1197"/>
      <c r="I39" s="1197"/>
      <c r="J39" s="1197"/>
      <c r="K39" s="1197"/>
      <c r="L39" s="1197"/>
      <c r="M39" s="1197"/>
      <c r="N39" s="1197"/>
    </row>
    <row r="40" spans="1:20" ht="21.9" customHeight="1" thickBot="1">
      <c r="A40" s="1223" t="s">
        <v>418</v>
      </c>
      <c r="B40" s="1223"/>
      <c r="C40" s="1223"/>
      <c r="D40" s="1223"/>
      <c r="E40" s="1223"/>
      <c r="F40" s="26"/>
      <c r="G40" s="561"/>
      <c r="H40" s="561"/>
      <c r="I40" s="1124" t="s">
        <v>287</v>
      </c>
      <c r="J40" s="1124"/>
      <c r="K40" s="1150" t="s">
        <v>288</v>
      </c>
      <c r="L40" s="1151"/>
      <c r="M40" s="1150" t="s">
        <v>437</v>
      </c>
      <c r="N40" s="1151"/>
    </row>
    <row r="41" spans="1:20" ht="21.9" customHeight="1" thickTop="1">
      <c r="A41" s="1223"/>
      <c r="B41" s="1223"/>
      <c r="C41" s="1223"/>
      <c r="D41" s="1223"/>
      <c r="E41" s="1223"/>
      <c r="F41" s="1125" t="s">
        <v>426</v>
      </c>
      <c r="G41" s="1083" t="s">
        <v>439</v>
      </c>
      <c r="H41" s="571" t="s">
        <v>434</v>
      </c>
      <c r="I41" s="1195" t="s">
        <v>78</v>
      </c>
      <c r="J41" s="1195"/>
      <c r="K41" s="1195" t="s">
        <v>443</v>
      </c>
      <c r="L41" s="1195"/>
      <c r="M41" s="1195" t="s">
        <v>78</v>
      </c>
      <c r="N41" s="1195"/>
      <c r="O41" s="48"/>
    </row>
    <row r="42" spans="1:20" ht="21.9" customHeight="1">
      <c r="A42" s="1223" t="s">
        <v>416</v>
      </c>
      <c r="B42" s="1223"/>
      <c r="C42" s="1223"/>
      <c r="D42" s="1223"/>
      <c r="E42" s="1224"/>
      <c r="F42" s="1126"/>
      <c r="G42" s="1084"/>
      <c r="H42" s="572" t="s">
        <v>435</v>
      </c>
      <c r="I42" s="1194" t="s">
        <v>78</v>
      </c>
      <c r="J42" s="1194"/>
      <c r="K42" s="1196" t="s">
        <v>78</v>
      </c>
      <c r="L42" s="1196"/>
      <c r="M42" s="1196" t="s">
        <v>78</v>
      </c>
      <c r="N42" s="1196"/>
      <c r="O42" s="48"/>
    </row>
    <row r="43" spans="1:20" ht="21.9" customHeight="1">
      <c r="A43" s="1223"/>
      <c r="B43" s="1223"/>
      <c r="C43" s="1223"/>
      <c r="D43" s="1223"/>
      <c r="E43" s="1224"/>
      <c r="F43" s="1126"/>
      <c r="G43" s="1085" t="s">
        <v>440</v>
      </c>
      <c r="H43" s="573" t="s">
        <v>434</v>
      </c>
      <c r="I43" s="1089" t="s">
        <v>172</v>
      </c>
      <c r="J43" s="1090"/>
      <c r="K43" s="1089" t="s">
        <v>172</v>
      </c>
      <c r="L43" s="1090"/>
      <c r="M43" s="1089" t="s">
        <v>442</v>
      </c>
      <c r="N43" s="1090"/>
      <c r="O43" s="48"/>
      <c r="P43" s="34"/>
      <c r="Q43" s="34"/>
      <c r="R43" s="34"/>
      <c r="S43" s="34"/>
      <c r="T43" s="34"/>
    </row>
    <row r="44" spans="1:20" ht="21.9" customHeight="1">
      <c r="A44" s="371" t="s">
        <v>254</v>
      </c>
      <c r="B44" s="562"/>
      <c r="C44" s="562"/>
      <c r="D44" s="562"/>
      <c r="E44" s="562"/>
      <c r="F44" s="1126"/>
      <c r="G44" s="1084"/>
      <c r="H44" s="572" t="s">
        <v>435</v>
      </c>
      <c r="I44" s="1091" t="s">
        <v>78</v>
      </c>
      <c r="J44" s="1092"/>
      <c r="K44" s="1183" t="s">
        <v>443</v>
      </c>
      <c r="L44" s="1184"/>
      <c r="M44" s="1183" t="s">
        <v>443</v>
      </c>
      <c r="N44" s="1184"/>
      <c r="O44" s="48"/>
      <c r="P44" s="34"/>
      <c r="Q44" s="34"/>
      <c r="R44" s="34"/>
      <c r="S44" s="34"/>
      <c r="T44" s="34"/>
    </row>
    <row r="45" spans="1:20" ht="21.9" customHeight="1">
      <c r="A45" s="569" t="s">
        <v>253</v>
      </c>
      <c r="B45" s="34"/>
      <c r="C45" s="34"/>
      <c r="D45" s="34"/>
      <c r="E45" s="570"/>
      <c r="F45" s="1126"/>
      <c r="G45" s="1085" t="s">
        <v>441</v>
      </c>
      <c r="H45" s="573" t="s">
        <v>434</v>
      </c>
      <c r="I45" s="1089" t="s">
        <v>432</v>
      </c>
      <c r="J45" s="1090"/>
      <c r="K45" s="1089" t="s">
        <v>432</v>
      </c>
      <c r="L45" s="1090"/>
      <c r="M45" s="1089" t="s">
        <v>432</v>
      </c>
      <c r="N45" s="1090"/>
      <c r="O45" s="48"/>
      <c r="P45" s="34"/>
      <c r="Q45" s="34"/>
      <c r="R45" s="34"/>
      <c r="S45" s="34"/>
      <c r="T45" s="34"/>
    </row>
    <row r="46" spans="1:20" ht="21.9" customHeight="1">
      <c r="B46" s="34"/>
      <c r="C46" s="34"/>
      <c r="D46" s="34"/>
      <c r="F46" s="1126"/>
      <c r="G46" s="1084"/>
      <c r="H46" s="572" t="s">
        <v>435</v>
      </c>
      <c r="I46" s="1091" t="s">
        <v>78</v>
      </c>
      <c r="J46" s="1092"/>
      <c r="K46" s="1183" t="s">
        <v>78</v>
      </c>
      <c r="L46" s="1184"/>
      <c r="M46" s="1183" t="s">
        <v>78</v>
      </c>
      <c r="N46" s="1184"/>
      <c r="O46" s="48"/>
    </row>
    <row r="47" spans="1:20" ht="21.9" customHeight="1">
      <c r="A47" s="28" t="s">
        <v>430</v>
      </c>
      <c r="B47" s="34"/>
      <c r="C47" s="34"/>
      <c r="D47" s="34"/>
      <c r="E47" s="570"/>
      <c r="F47" s="1126"/>
      <c r="G47" s="1081" t="s">
        <v>438</v>
      </c>
      <c r="H47" s="573" t="s">
        <v>434</v>
      </c>
      <c r="I47" s="1089" t="s">
        <v>78</v>
      </c>
      <c r="J47" s="1090"/>
      <c r="K47" s="1089" t="s">
        <v>433</v>
      </c>
      <c r="L47" s="1090"/>
      <c r="M47" s="1089" t="s">
        <v>78</v>
      </c>
      <c r="N47" s="1090"/>
      <c r="O47" s="48"/>
      <c r="P47" s="34"/>
      <c r="Q47" s="34"/>
      <c r="R47" s="34"/>
      <c r="S47" s="34"/>
      <c r="T47" s="34"/>
    </row>
    <row r="48" spans="1:20" ht="21.9" customHeight="1" thickBot="1">
      <c r="A48" s="1225" t="s">
        <v>429</v>
      </c>
      <c r="B48" s="1225"/>
      <c r="C48" s="1225"/>
      <c r="D48" s="1225"/>
      <c r="E48" s="1226"/>
      <c r="F48" s="1127"/>
      <c r="G48" s="1082"/>
      <c r="H48" s="574" t="s">
        <v>435</v>
      </c>
      <c r="I48" s="1190" t="s">
        <v>78</v>
      </c>
      <c r="J48" s="1191"/>
      <c r="K48" s="1192" t="s">
        <v>78</v>
      </c>
      <c r="L48" s="1193"/>
      <c r="M48" s="1192" t="s">
        <v>78</v>
      </c>
      <c r="N48" s="1193"/>
      <c r="O48" s="34"/>
      <c r="P48" s="34"/>
      <c r="Q48" s="34"/>
      <c r="R48" s="34"/>
      <c r="S48" s="34"/>
      <c r="T48" s="34"/>
    </row>
    <row r="49" spans="1:16" ht="21.9" customHeight="1" thickTop="1">
      <c r="A49" s="1225"/>
      <c r="B49" s="1225"/>
      <c r="C49" s="1225"/>
      <c r="D49" s="1225"/>
      <c r="E49" s="1226"/>
      <c r="F49" s="1218" t="s">
        <v>427</v>
      </c>
      <c r="G49" s="1083" t="s">
        <v>439</v>
      </c>
      <c r="H49" s="571" t="s">
        <v>434</v>
      </c>
      <c r="I49" s="1128" t="s">
        <v>78</v>
      </c>
      <c r="J49" s="1129"/>
      <c r="K49" s="1128" t="s">
        <v>78</v>
      </c>
      <c r="L49" s="1129"/>
      <c r="M49" s="1128" t="s">
        <v>78</v>
      </c>
      <c r="N49" s="1129"/>
      <c r="O49" s="48"/>
    </row>
    <row r="50" spans="1:16" ht="21.9" customHeight="1">
      <c r="A50" s="1225"/>
      <c r="B50" s="1225"/>
      <c r="C50" s="1225"/>
      <c r="D50" s="1225"/>
      <c r="E50" s="1226"/>
      <c r="F50" s="1219"/>
      <c r="G50" s="1084"/>
      <c r="H50" s="572" t="s">
        <v>435</v>
      </c>
      <c r="I50" s="1091" t="s">
        <v>78</v>
      </c>
      <c r="J50" s="1092"/>
      <c r="K50" s="1183" t="s">
        <v>78</v>
      </c>
      <c r="L50" s="1184"/>
      <c r="M50" s="1183" t="s">
        <v>78</v>
      </c>
      <c r="N50" s="1184"/>
      <c r="O50" s="48"/>
    </row>
    <row r="51" spans="1:16" ht="21.9" customHeight="1">
      <c r="A51" s="1225"/>
      <c r="B51" s="1225"/>
      <c r="C51" s="1225"/>
      <c r="D51" s="1225"/>
      <c r="E51" s="1226"/>
      <c r="F51" s="1219"/>
      <c r="G51" s="1085" t="s">
        <v>440</v>
      </c>
      <c r="H51" s="573" t="s">
        <v>434</v>
      </c>
      <c r="I51" s="1089" t="s">
        <v>442</v>
      </c>
      <c r="J51" s="1090"/>
      <c r="K51" s="1089" t="s">
        <v>442</v>
      </c>
      <c r="L51" s="1090"/>
      <c r="M51" s="1089" t="s">
        <v>442</v>
      </c>
      <c r="N51" s="1090"/>
      <c r="O51" s="48"/>
    </row>
    <row r="52" spans="1:16" ht="21.9" customHeight="1">
      <c r="A52" s="1225" t="s">
        <v>220</v>
      </c>
      <c r="B52" s="1225"/>
      <c r="C52" s="1225"/>
      <c r="D52" s="1225"/>
      <c r="E52" s="1226"/>
      <c r="F52" s="1219"/>
      <c r="G52" s="1084"/>
      <c r="H52" s="572" t="s">
        <v>435</v>
      </c>
      <c r="I52" s="1091" t="s">
        <v>78</v>
      </c>
      <c r="J52" s="1092"/>
      <c r="K52" s="1183" t="s">
        <v>443</v>
      </c>
      <c r="L52" s="1184"/>
      <c r="M52" s="1183" t="s">
        <v>443</v>
      </c>
      <c r="N52" s="1184"/>
      <c r="O52" s="48"/>
    </row>
    <row r="53" spans="1:16" ht="21.9" customHeight="1">
      <c r="A53" s="1225"/>
      <c r="B53" s="1225"/>
      <c r="C53" s="1225"/>
      <c r="D53" s="1225"/>
      <c r="E53" s="1226"/>
      <c r="F53" s="1219"/>
      <c r="G53" s="1085" t="s">
        <v>441</v>
      </c>
      <c r="H53" s="573" t="s">
        <v>434</v>
      </c>
      <c r="I53" s="1089" t="s">
        <v>78</v>
      </c>
      <c r="J53" s="1090"/>
      <c r="K53" s="1089" t="s">
        <v>436</v>
      </c>
      <c r="L53" s="1090"/>
      <c r="M53" s="1089" t="s">
        <v>436</v>
      </c>
      <c r="N53" s="1090"/>
      <c r="O53" s="48"/>
    </row>
    <row r="54" spans="1:16" ht="21.9" customHeight="1" thickBot="1">
      <c r="A54" s="1225" t="s">
        <v>431</v>
      </c>
      <c r="B54" s="1225"/>
      <c r="C54" s="1225"/>
      <c r="D54" s="1225"/>
      <c r="E54" s="1226"/>
      <c r="F54" s="1220"/>
      <c r="G54" s="1086"/>
      <c r="H54" s="580" t="s">
        <v>435</v>
      </c>
      <c r="I54" s="1117" t="s">
        <v>78</v>
      </c>
      <c r="J54" s="1118"/>
      <c r="K54" s="1188" t="s">
        <v>78</v>
      </c>
      <c r="L54" s="1189"/>
      <c r="M54" s="1188" t="s">
        <v>78</v>
      </c>
      <c r="N54" s="1189"/>
      <c r="O54" s="48"/>
    </row>
    <row r="55" spans="1:16" ht="21.9" customHeight="1" thickTop="1">
      <c r="A55" s="1225"/>
      <c r="B55" s="1225"/>
      <c r="C55" s="1225"/>
      <c r="D55" s="1225"/>
      <c r="E55" s="1232"/>
      <c r="F55" s="581"/>
      <c r="G55" s="1087"/>
      <c r="H55" s="582"/>
      <c r="I55" s="1119"/>
      <c r="J55" s="1119"/>
      <c r="K55" s="1119"/>
      <c r="L55" s="1119"/>
      <c r="M55" s="1119"/>
      <c r="N55" s="1119"/>
      <c r="O55" s="48"/>
    </row>
    <row r="56" spans="1:16" ht="21.9" customHeight="1">
      <c r="F56" s="583"/>
      <c r="G56" s="1088"/>
      <c r="H56" s="584"/>
      <c r="I56" s="1187"/>
      <c r="J56" s="1187"/>
      <c r="K56" s="1107"/>
      <c r="L56" s="1107"/>
      <c r="M56" s="1107"/>
      <c r="N56" s="1107"/>
      <c r="O56" s="48"/>
    </row>
    <row r="57" spans="1:16" ht="44.1" customHeight="1">
      <c r="H57" s="60"/>
      <c r="O57" s="48"/>
    </row>
    <row r="58" spans="1:16" ht="44.1" customHeight="1">
      <c r="H58" s="60"/>
      <c r="O58" s="48"/>
    </row>
    <row r="59" spans="1:16" ht="44.1" customHeight="1">
      <c r="H59" s="34"/>
      <c r="O59" s="48"/>
    </row>
    <row r="60" spans="1:16" ht="44.1" customHeight="1">
      <c r="H60" s="34"/>
      <c r="O60" s="48"/>
    </row>
    <row r="61" spans="1:16" ht="44.1" customHeight="1">
      <c r="H61" s="58"/>
      <c r="O61" s="48"/>
    </row>
    <row r="62" spans="1:16" ht="21.9" customHeight="1">
      <c r="B62" s="61"/>
      <c r="C62" s="61"/>
      <c r="D62" s="61"/>
      <c r="E62" s="61"/>
      <c r="F62" s="61"/>
      <c r="G62" s="61"/>
      <c r="H62" s="61"/>
      <c r="O62" s="160"/>
      <c r="P62" s="78"/>
    </row>
    <row r="63" spans="1:16" ht="21.9" customHeight="1">
      <c r="A63" s="28"/>
      <c r="B63" s="61"/>
      <c r="C63" s="61"/>
      <c r="D63" s="61"/>
      <c r="E63" s="61"/>
      <c r="F63" s="61"/>
      <c r="G63" s="61"/>
      <c r="H63" s="61"/>
      <c r="O63" s="160"/>
      <c r="P63" s="78"/>
    </row>
    <row r="64" spans="1:16" ht="21.9" customHeight="1">
      <c r="A64" s="59"/>
      <c r="B64" s="59"/>
      <c r="C64" s="59"/>
      <c r="D64" s="59"/>
      <c r="E64" s="59"/>
      <c r="F64" s="59"/>
      <c r="G64" s="59"/>
      <c r="H64" s="59"/>
      <c r="O64" s="160"/>
      <c r="P64" s="78"/>
    </row>
    <row r="65" spans="1:16" ht="21">
      <c r="A65" s="31"/>
      <c r="B65" s="59"/>
      <c r="C65" s="59"/>
      <c r="D65" s="59"/>
      <c r="E65" s="59"/>
      <c r="G65" s="72"/>
      <c r="H65" s="72"/>
      <c r="I65" s="72"/>
      <c r="J65" s="59"/>
      <c r="K65" s="59"/>
      <c r="L65" s="59"/>
      <c r="M65" s="59"/>
      <c r="N65" s="59"/>
      <c r="O65" s="160"/>
      <c r="P65" s="78"/>
    </row>
    <row r="66" spans="1:16" ht="18.75" customHeight="1">
      <c r="A66" s="1166" t="s">
        <v>93</v>
      </c>
      <c r="B66" s="304" t="s">
        <v>129</v>
      </c>
      <c r="C66" s="1172" t="s">
        <v>242</v>
      </c>
      <c r="D66" s="1173"/>
      <c r="E66" s="1173"/>
      <c r="F66" s="1173"/>
      <c r="G66" s="1172" t="s">
        <v>243</v>
      </c>
      <c r="H66" s="1173"/>
      <c r="I66" s="1174"/>
      <c r="J66" s="1172" t="s">
        <v>103</v>
      </c>
      <c r="K66" s="1173"/>
      <c r="L66" s="1174"/>
      <c r="M66" s="1039" t="s">
        <v>141</v>
      </c>
      <c r="N66" s="1040"/>
      <c r="O66" s="79"/>
      <c r="P66" s="79"/>
    </row>
    <row r="67" spans="1:16" ht="60" customHeight="1">
      <c r="A67" s="1167"/>
      <c r="B67" s="306">
        <v>0</v>
      </c>
      <c r="C67" s="1093">
        <v>0</v>
      </c>
      <c r="D67" s="1095"/>
      <c r="E67" s="1095"/>
      <c r="F67" s="1094"/>
      <c r="G67" s="1093">
        <v>0</v>
      </c>
      <c r="H67" s="1095"/>
      <c r="I67" s="1094"/>
      <c r="J67" s="1093">
        <v>0</v>
      </c>
      <c r="K67" s="1095"/>
      <c r="L67" s="1094"/>
      <c r="M67" s="1093">
        <v>0</v>
      </c>
      <c r="N67" s="1094"/>
      <c r="O67" s="79"/>
      <c r="P67" s="79"/>
    </row>
    <row r="68" spans="1:16" ht="24.9" customHeight="1">
      <c r="P68" s="79"/>
    </row>
    <row r="69" spans="1:16" ht="57" customHeight="1"/>
    <row r="70" spans="1:16" ht="46.5" customHeight="1"/>
    <row r="71" spans="1:16" ht="20.25" customHeight="1">
      <c r="P71" s="59"/>
    </row>
    <row r="72" spans="1:16" ht="21">
      <c r="P72" s="59"/>
    </row>
    <row r="92" spans="1:14" ht="15.6">
      <c r="A92" s="305"/>
      <c r="B92" s="305"/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305"/>
      <c r="N92" s="305"/>
    </row>
    <row r="93" spans="1:14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</row>
  </sheetData>
  <mergeCells count="197">
    <mergeCell ref="F49:F54"/>
    <mergeCell ref="B26:G26"/>
    <mergeCell ref="B27:G27"/>
    <mergeCell ref="B28:G28"/>
    <mergeCell ref="A42:E43"/>
    <mergeCell ref="A39:F39"/>
    <mergeCell ref="A48:E51"/>
    <mergeCell ref="A52:E53"/>
    <mergeCell ref="M23:N23"/>
    <mergeCell ref="M24:M25"/>
    <mergeCell ref="M26:N26"/>
    <mergeCell ref="M27:N27"/>
    <mergeCell ref="M28:N28"/>
    <mergeCell ref="K23:L23"/>
    <mergeCell ref="K24:L24"/>
    <mergeCell ref="K25:L25"/>
    <mergeCell ref="K26:L26"/>
    <mergeCell ref="K27:L27"/>
    <mergeCell ref="K28:L28"/>
    <mergeCell ref="A40:E41"/>
    <mergeCell ref="A54:E55"/>
    <mergeCell ref="D32:E36"/>
    <mergeCell ref="A30:C31"/>
    <mergeCell ref="D30:E31"/>
    <mergeCell ref="K40:L40"/>
    <mergeCell ref="M40:N40"/>
    <mergeCell ref="G39:N39"/>
    <mergeCell ref="F32:G32"/>
    <mergeCell ref="A37:H37"/>
    <mergeCell ref="A10:A11"/>
    <mergeCell ref="A12:A13"/>
    <mergeCell ref="G16:H16"/>
    <mergeCell ref="G17:H17"/>
    <mergeCell ref="G18:H18"/>
    <mergeCell ref="G19:H19"/>
    <mergeCell ref="G20:H20"/>
    <mergeCell ref="E16:F20"/>
    <mergeCell ref="B21:F21"/>
    <mergeCell ref="I33:K33"/>
    <mergeCell ref="I34:K34"/>
    <mergeCell ref="I35:K35"/>
    <mergeCell ref="B10:C13"/>
    <mergeCell ref="D10:I11"/>
    <mergeCell ref="D12:I13"/>
    <mergeCell ref="E15:F15"/>
    <mergeCell ref="G15:H15"/>
    <mergeCell ref="M15:N15"/>
    <mergeCell ref="M16:N16"/>
    <mergeCell ref="M43:N43"/>
    <mergeCell ref="K43:L43"/>
    <mergeCell ref="I42:J42"/>
    <mergeCell ref="I41:J41"/>
    <mergeCell ref="K42:L42"/>
    <mergeCell ref="K41:L41"/>
    <mergeCell ref="M41:N41"/>
    <mergeCell ref="M42:N42"/>
    <mergeCell ref="M44:N44"/>
    <mergeCell ref="K44:L44"/>
    <mergeCell ref="I45:J45"/>
    <mergeCell ref="I56:J56"/>
    <mergeCell ref="M52:N52"/>
    <mergeCell ref="K53:L53"/>
    <mergeCell ref="M53:N53"/>
    <mergeCell ref="K54:L54"/>
    <mergeCell ref="M54:N54"/>
    <mergeCell ref="K55:L55"/>
    <mergeCell ref="M55:N55"/>
    <mergeCell ref="K45:L45"/>
    <mergeCell ref="M45:N45"/>
    <mergeCell ref="K49:L49"/>
    <mergeCell ref="M49:N49"/>
    <mergeCell ref="K50:L50"/>
    <mergeCell ref="M50:N50"/>
    <mergeCell ref="I46:J46"/>
    <mergeCell ref="I47:J47"/>
    <mergeCell ref="I48:J48"/>
    <mergeCell ref="K47:L47"/>
    <mergeCell ref="K48:L48"/>
    <mergeCell ref="K46:L46"/>
    <mergeCell ref="M46:N46"/>
    <mergeCell ref="M47:N47"/>
    <mergeCell ref="M48:N48"/>
    <mergeCell ref="A24:A25"/>
    <mergeCell ref="A66:A67"/>
    <mergeCell ref="A26:A27"/>
    <mergeCell ref="H26:I27"/>
    <mergeCell ref="C66:F66"/>
    <mergeCell ref="C67:F67"/>
    <mergeCell ref="G66:I66"/>
    <mergeCell ref="J66:L66"/>
    <mergeCell ref="J67:L67"/>
    <mergeCell ref="F36:G36"/>
    <mergeCell ref="F33:G33"/>
    <mergeCell ref="F34:G34"/>
    <mergeCell ref="I36:K36"/>
    <mergeCell ref="H28:I28"/>
    <mergeCell ref="H25:I25"/>
    <mergeCell ref="H24:I24"/>
    <mergeCell ref="E24:G24"/>
    <mergeCell ref="E25:G25"/>
    <mergeCell ref="K56:L56"/>
    <mergeCell ref="I51:J51"/>
    <mergeCell ref="K51:L51"/>
    <mergeCell ref="K52:L52"/>
    <mergeCell ref="I37:K37"/>
    <mergeCell ref="L32:L36"/>
    <mergeCell ref="A3:A4"/>
    <mergeCell ref="I6:J6"/>
    <mergeCell ref="H3:H4"/>
    <mergeCell ref="I5:J5"/>
    <mergeCell ref="I7:J7"/>
    <mergeCell ref="A5:A7"/>
    <mergeCell ref="F3:F4"/>
    <mergeCell ref="I3:J4"/>
    <mergeCell ref="H23:I23"/>
    <mergeCell ref="G3:G4"/>
    <mergeCell ref="B16:C20"/>
    <mergeCell ref="D17:D20"/>
    <mergeCell ref="B9:C9"/>
    <mergeCell ref="I19:J19"/>
    <mergeCell ref="I18:J18"/>
    <mergeCell ref="B15:D15"/>
    <mergeCell ref="I15:J15"/>
    <mergeCell ref="I20:J20"/>
    <mergeCell ref="I17:J17"/>
    <mergeCell ref="P3:Q4"/>
    <mergeCell ref="P5:Q5"/>
    <mergeCell ref="P6:Q6"/>
    <mergeCell ref="B24:D25"/>
    <mergeCell ref="I40:J40"/>
    <mergeCell ref="F41:F48"/>
    <mergeCell ref="I49:J49"/>
    <mergeCell ref="I50:J50"/>
    <mergeCell ref="I52:J52"/>
    <mergeCell ref="M10:N10"/>
    <mergeCell ref="M11:N11"/>
    <mergeCell ref="M12:N12"/>
    <mergeCell ref="M13:N13"/>
    <mergeCell ref="L12:L13"/>
    <mergeCell ref="L10:L11"/>
    <mergeCell ref="M51:N51"/>
    <mergeCell ref="P7:Q8"/>
    <mergeCell ref="P9:Q11"/>
    <mergeCell ref="P13:Q13"/>
    <mergeCell ref="P14:V14"/>
    <mergeCell ref="P15:Q15"/>
    <mergeCell ref="P16:Q16"/>
    <mergeCell ref="M37:N37"/>
    <mergeCell ref="M17:N17"/>
    <mergeCell ref="P12:Q12"/>
    <mergeCell ref="M67:N67"/>
    <mergeCell ref="G67:I67"/>
    <mergeCell ref="F35:G35"/>
    <mergeCell ref="F30:G31"/>
    <mergeCell ref="M30:N30"/>
    <mergeCell ref="L30:L31"/>
    <mergeCell ref="H30:H31"/>
    <mergeCell ref="P17:Q27"/>
    <mergeCell ref="P28:Q28"/>
    <mergeCell ref="P29:V29"/>
    <mergeCell ref="M56:N56"/>
    <mergeCell ref="M18:N18"/>
    <mergeCell ref="M19:N19"/>
    <mergeCell ref="M20:N20"/>
    <mergeCell ref="M21:N21"/>
    <mergeCell ref="I30:K31"/>
    <mergeCell ref="I32:K32"/>
    <mergeCell ref="I53:J53"/>
    <mergeCell ref="I54:J54"/>
    <mergeCell ref="I55:J55"/>
    <mergeCell ref="G41:G42"/>
    <mergeCell ref="G43:G44"/>
    <mergeCell ref="G45:G46"/>
    <mergeCell ref="N2:O2"/>
    <mergeCell ref="M66:N66"/>
    <mergeCell ref="K3:N3"/>
    <mergeCell ref="K4:N4"/>
    <mergeCell ref="K5:N5"/>
    <mergeCell ref="K6:N6"/>
    <mergeCell ref="K7:N7"/>
    <mergeCell ref="E1:J2"/>
    <mergeCell ref="B23:G23"/>
    <mergeCell ref="I16:J16"/>
    <mergeCell ref="B3:E4"/>
    <mergeCell ref="B5:E7"/>
    <mergeCell ref="G21:L21"/>
    <mergeCell ref="D9:I9"/>
    <mergeCell ref="K12:K13"/>
    <mergeCell ref="K10:K11"/>
    <mergeCell ref="M9:N9"/>
    <mergeCell ref="G47:G48"/>
    <mergeCell ref="G49:G50"/>
    <mergeCell ref="G51:G52"/>
    <mergeCell ref="G53:G54"/>
    <mergeCell ref="G55:G56"/>
    <mergeCell ref="I43:J43"/>
    <mergeCell ref="I44:J44"/>
  </mergeCells>
  <phoneticPr fontId="24" type="noConversion"/>
  <printOptions horizontalCentered="1"/>
  <pageMargins left="0.15748031496062992" right="0" top="0" bottom="0" header="3.937007874015748E-2" footer="0.11811023622047245"/>
  <pageSetup paperSize="9" scale="38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rgb="FFC00000"/>
    <pageSetUpPr fitToPage="1"/>
  </sheetPr>
  <dimension ref="A1:AS44"/>
  <sheetViews>
    <sheetView showGridLines="0" zoomScale="50" zoomScaleNormal="50" zoomScaleSheetLayoutView="40" zoomScalePageLayoutView="19" workbookViewId="0">
      <selection activeCell="AJ10" sqref="AJ10"/>
    </sheetView>
  </sheetViews>
  <sheetFormatPr defaultColWidth="9.109375" defaultRowHeight="20.399999999999999"/>
  <cols>
    <col min="1" max="1" width="32.44140625" style="9" customWidth="1"/>
    <col min="2" max="2" width="30.44140625" style="9" customWidth="1"/>
    <col min="3" max="3" width="24.44140625" style="9" customWidth="1"/>
    <col min="4" max="4" width="17.33203125" style="9" customWidth="1"/>
    <col min="5" max="17" width="17.6640625" style="9" customWidth="1"/>
    <col min="18" max="18" width="13.88671875" style="9" hidden="1" customWidth="1"/>
    <col min="19" max="19" width="12.109375" style="9" hidden="1" customWidth="1"/>
    <col min="20" max="20" width="10.44140625" style="9" hidden="1" customWidth="1"/>
    <col min="21" max="31" width="12.109375" style="9" hidden="1" customWidth="1"/>
    <col min="32" max="32" width="9.109375" style="9"/>
    <col min="33" max="33" width="16" style="9" bestFit="1" customWidth="1"/>
    <col min="34" max="34" width="10.44140625" style="9" bestFit="1" customWidth="1"/>
    <col min="35" max="42" width="12.109375" style="9" bestFit="1" customWidth="1"/>
    <col min="43" max="43" width="12.109375" style="9" customWidth="1"/>
    <col min="44" max="45" width="12.109375" style="9" bestFit="1" customWidth="1"/>
    <col min="46" max="16384" width="9.109375" style="9"/>
  </cols>
  <sheetData>
    <row r="1" spans="1:45" ht="75.75" customHeight="1">
      <c r="A1" s="349"/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44"/>
    </row>
    <row r="2" spans="1:45" ht="33" customHeight="1">
      <c r="B2" s="1255" t="s">
        <v>302</v>
      </c>
      <c r="C2" s="1255"/>
      <c r="D2" s="1255"/>
      <c r="E2" s="1255"/>
      <c r="F2" s="1255"/>
      <c r="G2" s="1255"/>
      <c r="H2" s="1255"/>
      <c r="I2" s="1255"/>
      <c r="J2" s="1255"/>
      <c r="K2" s="1255"/>
      <c r="L2" s="1255"/>
      <c r="M2" s="1255"/>
      <c r="P2" s="350" t="s">
        <v>135</v>
      </c>
      <c r="Q2" s="755">
        <v>42989</v>
      </c>
      <c r="R2" s="755"/>
    </row>
    <row r="3" spans="1:45" ht="24.9" customHeight="1">
      <c r="A3" s="1260" t="s">
        <v>147</v>
      </c>
      <c r="B3" s="975" t="s">
        <v>303</v>
      </c>
      <c r="C3" s="975" t="s">
        <v>84</v>
      </c>
      <c r="D3" s="975" t="s">
        <v>137</v>
      </c>
      <c r="E3" s="1234" t="s">
        <v>138</v>
      </c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460" t="s">
        <v>44</v>
      </c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</row>
    <row r="4" spans="1:45" ht="24.9" customHeight="1">
      <c r="A4" s="1261"/>
      <c r="B4" s="975"/>
      <c r="C4" s="975"/>
      <c r="D4" s="975"/>
      <c r="E4" s="337">
        <v>3</v>
      </c>
      <c r="F4" s="337">
        <v>3.5</v>
      </c>
      <c r="G4" s="337">
        <v>4</v>
      </c>
      <c r="H4" s="337">
        <v>4.5</v>
      </c>
      <c r="I4" s="337">
        <v>5</v>
      </c>
      <c r="J4" s="337">
        <v>5.5</v>
      </c>
      <c r="K4" s="337">
        <v>6</v>
      </c>
      <c r="L4" s="337">
        <v>6.5</v>
      </c>
      <c r="M4" s="337">
        <v>7</v>
      </c>
      <c r="N4" s="337">
        <v>7.5</v>
      </c>
      <c r="O4" s="337">
        <v>8</v>
      </c>
      <c r="P4" s="337">
        <v>8.5</v>
      </c>
      <c r="Q4" s="337">
        <v>9</v>
      </c>
      <c r="R4" s="460"/>
      <c r="S4" s="460"/>
      <c r="T4" s="460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</row>
    <row r="5" spans="1:45" ht="33" customHeight="1">
      <c r="A5" s="1235"/>
      <c r="B5" s="1016" t="s">
        <v>87</v>
      </c>
      <c r="C5" s="977" t="s">
        <v>88</v>
      </c>
      <c r="D5" s="20">
        <v>2.0299999999999998</v>
      </c>
      <c r="E5" s="710">
        <f>ROUND(S5*(1-$E$42),2)</f>
        <v>63258.3</v>
      </c>
      <c r="F5" s="710">
        <f t="shared" ref="F5:Q10" si="0">ROUND(T5*(1-$E$42),2)</f>
        <v>73801.350000000006</v>
      </c>
      <c r="G5" s="710">
        <f t="shared" si="0"/>
        <v>84344.4</v>
      </c>
      <c r="H5" s="710">
        <f t="shared" si="0"/>
        <v>94886.399999999994</v>
      </c>
      <c r="I5" s="710">
        <f t="shared" si="0"/>
        <v>124034.4</v>
      </c>
      <c r="J5" s="710">
        <f t="shared" si="0"/>
        <v>136438.04999999999</v>
      </c>
      <c r="K5" s="710">
        <f t="shared" si="0"/>
        <v>148841.70000000001</v>
      </c>
      <c r="L5" s="710">
        <f t="shared" si="0"/>
        <v>161244.29999999999</v>
      </c>
      <c r="M5" s="710">
        <f t="shared" si="0"/>
        <v>173647.95</v>
      </c>
      <c r="N5" s="710">
        <f t="shared" si="0"/>
        <v>186051.6</v>
      </c>
      <c r="O5" s="710">
        <f t="shared" si="0"/>
        <v>198455.25</v>
      </c>
      <c r="P5" s="710">
        <f t="shared" si="0"/>
        <v>210858.9</v>
      </c>
      <c r="Q5" s="710">
        <f t="shared" si="0"/>
        <v>223261.5</v>
      </c>
      <c r="R5" s="460"/>
      <c r="S5" s="702">
        <v>63258.3</v>
      </c>
      <c r="T5" s="702">
        <v>73801.350000000006</v>
      </c>
      <c r="U5" s="702">
        <v>84344.400000000009</v>
      </c>
      <c r="V5" s="702">
        <v>94886.400000000009</v>
      </c>
      <c r="W5" s="702">
        <v>124034.40000000001</v>
      </c>
      <c r="X5" s="702">
        <v>136438.05000000002</v>
      </c>
      <c r="Y5" s="702">
        <v>148841.70000000001</v>
      </c>
      <c r="Z5" s="702">
        <v>161244.30000000002</v>
      </c>
      <c r="AA5" s="702">
        <v>173647.95</v>
      </c>
      <c r="AB5" s="702">
        <v>186051.6</v>
      </c>
      <c r="AC5" s="702">
        <v>198455.25</v>
      </c>
      <c r="AD5" s="702">
        <v>210858.90000000002</v>
      </c>
      <c r="AE5" s="702">
        <v>223261.5</v>
      </c>
      <c r="AG5" s="705"/>
      <c r="AH5" s="705"/>
      <c r="AI5" s="705"/>
      <c r="AJ5" s="705"/>
      <c r="AK5" s="705"/>
      <c r="AL5" s="705"/>
      <c r="AM5" s="705"/>
      <c r="AN5" s="705"/>
      <c r="AO5" s="705"/>
      <c r="AP5" s="705"/>
      <c r="AQ5" s="705"/>
      <c r="AR5" s="705"/>
      <c r="AS5" s="705"/>
    </row>
    <row r="6" spans="1:45" ht="33" customHeight="1">
      <c r="A6" s="1235"/>
      <c r="B6" s="1016"/>
      <c r="C6" s="1239"/>
      <c r="D6" s="338">
        <v>2.23</v>
      </c>
      <c r="E6" s="711">
        <f t="shared" ref="E6:E10" si="1">ROUND(S6*(1-$E$42),2)</f>
        <v>69583.5</v>
      </c>
      <c r="F6" s="711">
        <f t="shared" si="0"/>
        <v>81181.8</v>
      </c>
      <c r="G6" s="711">
        <f t="shared" si="0"/>
        <v>92778</v>
      </c>
      <c r="H6" s="711">
        <f t="shared" si="0"/>
        <v>104375.25</v>
      </c>
      <c r="I6" s="711">
        <f t="shared" si="0"/>
        <v>136438.04999999999</v>
      </c>
      <c r="J6" s="711">
        <f t="shared" si="0"/>
        <v>150082.79999999999</v>
      </c>
      <c r="K6" s="711">
        <f t="shared" si="0"/>
        <v>163726.5</v>
      </c>
      <c r="L6" s="711">
        <f t="shared" si="0"/>
        <v>177370.2</v>
      </c>
      <c r="M6" s="711">
        <f t="shared" si="0"/>
        <v>191012.85</v>
      </c>
      <c r="N6" s="711">
        <f t="shared" si="0"/>
        <v>204656.55</v>
      </c>
      <c r="O6" s="711">
        <f t="shared" si="0"/>
        <v>218301.3</v>
      </c>
      <c r="P6" s="711">
        <f t="shared" si="0"/>
        <v>231945</v>
      </c>
      <c r="Q6" s="711">
        <f t="shared" si="0"/>
        <v>245588.7</v>
      </c>
      <c r="R6" s="460"/>
      <c r="S6" s="703">
        <v>69583.5</v>
      </c>
      <c r="T6" s="703">
        <v>81181.8</v>
      </c>
      <c r="U6" s="703">
        <v>92778</v>
      </c>
      <c r="V6" s="703">
        <v>104375.25</v>
      </c>
      <c r="W6" s="703">
        <v>136438.05000000002</v>
      </c>
      <c r="X6" s="703">
        <v>150082.80000000002</v>
      </c>
      <c r="Y6" s="703">
        <v>163726.5</v>
      </c>
      <c r="Z6" s="703">
        <v>177370.2</v>
      </c>
      <c r="AA6" s="703">
        <v>191012.85</v>
      </c>
      <c r="AB6" s="703">
        <v>204656.55000000002</v>
      </c>
      <c r="AC6" s="703">
        <v>218301.30000000002</v>
      </c>
      <c r="AD6" s="703">
        <v>231945</v>
      </c>
      <c r="AE6" s="703">
        <v>245588.7</v>
      </c>
      <c r="AG6" s="705"/>
      <c r="AH6" s="705"/>
      <c r="AI6" s="705"/>
      <c r="AJ6" s="705"/>
      <c r="AK6" s="705"/>
      <c r="AL6" s="705"/>
      <c r="AM6" s="705"/>
      <c r="AN6" s="705"/>
      <c r="AO6" s="705"/>
      <c r="AP6" s="705"/>
      <c r="AQ6" s="705"/>
      <c r="AR6" s="705"/>
      <c r="AS6" s="705"/>
    </row>
    <row r="7" spans="1:45" ht="33" customHeight="1">
      <c r="A7" s="1235"/>
      <c r="B7" s="1016"/>
      <c r="C7" s="978"/>
      <c r="D7" s="21">
        <v>2.4300000000000002</v>
      </c>
      <c r="E7" s="712">
        <f t="shared" si="1"/>
        <v>76541.850000000006</v>
      </c>
      <c r="F7" s="712">
        <f t="shared" si="0"/>
        <v>89299.35</v>
      </c>
      <c r="G7" s="712">
        <f t="shared" si="0"/>
        <v>102056.85</v>
      </c>
      <c r="H7" s="712">
        <f t="shared" si="0"/>
        <v>114812.25</v>
      </c>
      <c r="I7" s="712">
        <f t="shared" si="0"/>
        <v>150082.79999999999</v>
      </c>
      <c r="J7" s="712">
        <f t="shared" si="0"/>
        <v>165090.45000000001</v>
      </c>
      <c r="K7" s="712">
        <f t="shared" si="0"/>
        <v>180099.15</v>
      </c>
      <c r="L7" s="712">
        <f t="shared" si="0"/>
        <v>195106.8</v>
      </c>
      <c r="M7" s="712">
        <f t="shared" si="0"/>
        <v>210114.45</v>
      </c>
      <c r="N7" s="712">
        <f t="shared" si="0"/>
        <v>225123.15</v>
      </c>
      <c r="O7" s="712">
        <f t="shared" si="0"/>
        <v>240130.8</v>
      </c>
      <c r="P7" s="712">
        <f t="shared" si="0"/>
        <v>255139.5</v>
      </c>
      <c r="Q7" s="712">
        <f t="shared" si="0"/>
        <v>270148.2</v>
      </c>
      <c r="R7" s="461"/>
      <c r="S7" s="704">
        <v>76541.850000000006</v>
      </c>
      <c r="T7" s="704">
        <v>89299.35</v>
      </c>
      <c r="U7" s="704">
        <v>102056.85</v>
      </c>
      <c r="V7" s="704">
        <v>114812.25</v>
      </c>
      <c r="W7" s="704">
        <v>150082.80000000002</v>
      </c>
      <c r="X7" s="704">
        <v>165090.45000000001</v>
      </c>
      <c r="Y7" s="704">
        <v>180099.15</v>
      </c>
      <c r="Z7" s="704">
        <v>195106.80000000002</v>
      </c>
      <c r="AA7" s="704">
        <v>210114.45</v>
      </c>
      <c r="AB7" s="704">
        <v>225123.15000000002</v>
      </c>
      <c r="AC7" s="704">
        <v>240130.80000000002</v>
      </c>
      <c r="AD7" s="704">
        <v>255139.5</v>
      </c>
      <c r="AE7" s="704">
        <v>270148.2</v>
      </c>
      <c r="AG7" s="705"/>
      <c r="AH7" s="705"/>
      <c r="AI7" s="705"/>
      <c r="AJ7" s="705"/>
      <c r="AK7" s="705"/>
      <c r="AL7" s="705"/>
      <c r="AM7" s="705"/>
      <c r="AN7" s="705"/>
      <c r="AO7" s="705"/>
      <c r="AP7" s="705"/>
      <c r="AQ7" s="705"/>
      <c r="AR7" s="705"/>
      <c r="AS7" s="705"/>
    </row>
    <row r="8" spans="1:45" ht="33" customHeight="1">
      <c r="A8" s="1259"/>
      <c r="B8" s="1016" t="s">
        <v>82</v>
      </c>
      <c r="C8" s="977" t="s">
        <v>89</v>
      </c>
      <c r="D8" s="20">
        <v>2.0299999999999998</v>
      </c>
      <c r="E8" s="710">
        <f t="shared" si="1"/>
        <v>68950.350000000006</v>
      </c>
      <c r="F8" s="710">
        <f t="shared" si="0"/>
        <v>80443.649999999994</v>
      </c>
      <c r="G8" s="710">
        <f t="shared" si="0"/>
        <v>91933.8</v>
      </c>
      <c r="H8" s="710">
        <f t="shared" si="0"/>
        <v>103427.1</v>
      </c>
      <c r="I8" s="710">
        <f t="shared" si="0"/>
        <v>135198</v>
      </c>
      <c r="J8" s="710">
        <f t="shared" si="0"/>
        <v>148717.79999999999</v>
      </c>
      <c r="K8" s="710">
        <f t="shared" si="0"/>
        <v>162185.1</v>
      </c>
      <c r="L8" s="710">
        <f t="shared" si="0"/>
        <v>175757.4</v>
      </c>
      <c r="M8" s="710">
        <f t="shared" si="0"/>
        <v>189277.2</v>
      </c>
      <c r="N8" s="710">
        <f t="shared" si="0"/>
        <v>202797</v>
      </c>
      <c r="O8" s="710">
        <f t="shared" si="0"/>
        <v>216316.79999999999</v>
      </c>
      <c r="P8" s="710">
        <f t="shared" si="0"/>
        <v>229836.6</v>
      </c>
      <c r="Q8" s="710">
        <f t="shared" si="0"/>
        <v>243356.4</v>
      </c>
      <c r="R8" s="460"/>
      <c r="S8" s="702">
        <v>68950.350000000006</v>
      </c>
      <c r="T8" s="702">
        <v>80443.650000000009</v>
      </c>
      <c r="U8" s="702">
        <v>91933.8</v>
      </c>
      <c r="V8" s="702">
        <v>103427.1</v>
      </c>
      <c r="W8" s="702">
        <v>135198</v>
      </c>
      <c r="X8" s="702">
        <v>148717.80000000002</v>
      </c>
      <c r="Y8" s="702">
        <v>162185.1</v>
      </c>
      <c r="Z8" s="702">
        <v>175757.4</v>
      </c>
      <c r="AA8" s="702">
        <v>189277.2</v>
      </c>
      <c r="AB8" s="702">
        <v>202797</v>
      </c>
      <c r="AC8" s="702">
        <v>216316.80000000002</v>
      </c>
      <c r="AD8" s="702">
        <v>229836.6</v>
      </c>
      <c r="AE8" s="702">
        <v>243356.40000000002</v>
      </c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</row>
    <row r="9" spans="1:45" ht="33" customHeight="1">
      <c r="A9" s="1259"/>
      <c r="B9" s="1262"/>
      <c r="C9" s="1239"/>
      <c r="D9" s="338">
        <v>2.23</v>
      </c>
      <c r="E9" s="711">
        <f t="shared" si="1"/>
        <v>75846.75</v>
      </c>
      <c r="F9" s="711">
        <f t="shared" si="0"/>
        <v>88486.65</v>
      </c>
      <c r="G9" s="711">
        <f t="shared" si="0"/>
        <v>101128.65</v>
      </c>
      <c r="H9" s="711">
        <f t="shared" si="0"/>
        <v>113769.60000000001</v>
      </c>
      <c r="I9" s="711">
        <f t="shared" si="0"/>
        <v>148717.79999999999</v>
      </c>
      <c r="J9" s="711">
        <f t="shared" si="0"/>
        <v>163588.95000000001</v>
      </c>
      <c r="K9" s="711">
        <f t="shared" si="0"/>
        <v>178461.15</v>
      </c>
      <c r="L9" s="711">
        <f t="shared" si="0"/>
        <v>193333.35</v>
      </c>
      <c r="M9" s="711">
        <f t="shared" si="0"/>
        <v>208205.55</v>
      </c>
      <c r="N9" s="711">
        <f t="shared" si="0"/>
        <v>223075.65</v>
      </c>
      <c r="O9" s="711">
        <f t="shared" si="0"/>
        <v>237947.85</v>
      </c>
      <c r="P9" s="711">
        <f t="shared" si="0"/>
        <v>252820.05</v>
      </c>
      <c r="Q9" s="711">
        <f t="shared" si="0"/>
        <v>267692.25</v>
      </c>
      <c r="R9" s="460"/>
      <c r="S9" s="703">
        <v>75846.75</v>
      </c>
      <c r="T9" s="703">
        <v>88486.650000000009</v>
      </c>
      <c r="U9" s="703">
        <v>101128.65000000001</v>
      </c>
      <c r="V9" s="703">
        <v>113769.60000000001</v>
      </c>
      <c r="W9" s="703">
        <v>148717.80000000002</v>
      </c>
      <c r="X9" s="703">
        <v>163588.95000000001</v>
      </c>
      <c r="Y9" s="703">
        <v>178461.15</v>
      </c>
      <c r="Z9" s="703">
        <v>193333.35</v>
      </c>
      <c r="AA9" s="703">
        <v>208205.55000000002</v>
      </c>
      <c r="AB9" s="703">
        <v>223075.65000000002</v>
      </c>
      <c r="AC9" s="703">
        <v>237947.85</v>
      </c>
      <c r="AD9" s="703">
        <v>252820.05000000002</v>
      </c>
      <c r="AE9" s="703">
        <v>267692.25</v>
      </c>
      <c r="AG9" s="705"/>
      <c r="AH9" s="705"/>
      <c r="AI9" s="705"/>
      <c r="AJ9" s="705"/>
      <c r="AK9" s="705"/>
      <c r="AL9" s="705"/>
      <c r="AM9" s="705"/>
      <c r="AN9" s="705"/>
      <c r="AO9" s="705"/>
      <c r="AP9" s="705"/>
      <c r="AQ9" s="705"/>
      <c r="AR9" s="705"/>
      <c r="AS9" s="705"/>
    </row>
    <row r="10" spans="1:45" ht="33" customHeight="1">
      <c r="A10" s="1259"/>
      <c r="B10" s="1262"/>
      <c r="C10" s="978"/>
      <c r="D10" s="21">
        <v>2.4300000000000002</v>
      </c>
      <c r="E10" s="712">
        <f t="shared" si="1"/>
        <v>83430.899999999994</v>
      </c>
      <c r="F10" s="712">
        <f t="shared" si="0"/>
        <v>97337.1</v>
      </c>
      <c r="G10" s="712">
        <f t="shared" si="0"/>
        <v>111241.2</v>
      </c>
      <c r="H10" s="712">
        <f t="shared" si="0"/>
        <v>125146.35</v>
      </c>
      <c r="I10" s="712">
        <f t="shared" si="0"/>
        <v>163588.95000000001</v>
      </c>
      <c r="J10" s="712">
        <f t="shared" si="0"/>
        <v>179949</v>
      </c>
      <c r="K10" s="712">
        <f t="shared" si="0"/>
        <v>196306.95</v>
      </c>
      <c r="L10" s="712">
        <f t="shared" si="0"/>
        <v>212665.95</v>
      </c>
      <c r="M10" s="712">
        <f t="shared" si="0"/>
        <v>229024.95</v>
      </c>
      <c r="N10" s="712">
        <f t="shared" si="0"/>
        <v>245385</v>
      </c>
      <c r="O10" s="712">
        <f t="shared" si="0"/>
        <v>261742.95</v>
      </c>
      <c r="P10" s="712">
        <f t="shared" si="0"/>
        <v>278101.95</v>
      </c>
      <c r="Q10" s="712">
        <f t="shared" si="0"/>
        <v>294460.95</v>
      </c>
      <c r="R10" s="462"/>
      <c r="S10" s="704">
        <v>83430.900000000009</v>
      </c>
      <c r="T10" s="704">
        <v>97337.1</v>
      </c>
      <c r="U10" s="704">
        <v>111241.20000000001</v>
      </c>
      <c r="V10" s="704">
        <v>125146.35</v>
      </c>
      <c r="W10" s="704">
        <v>163588.95000000001</v>
      </c>
      <c r="X10" s="704">
        <v>179949</v>
      </c>
      <c r="Y10" s="704">
        <v>196306.95</v>
      </c>
      <c r="Z10" s="704">
        <v>212665.95</v>
      </c>
      <c r="AA10" s="704">
        <v>229024.95</v>
      </c>
      <c r="AB10" s="704">
        <v>245385</v>
      </c>
      <c r="AC10" s="704">
        <v>261742.95</v>
      </c>
      <c r="AD10" s="704">
        <v>278101.95</v>
      </c>
      <c r="AE10" s="704">
        <v>294460.95</v>
      </c>
      <c r="AG10" s="705"/>
      <c r="AH10" s="705"/>
      <c r="AI10" s="705"/>
      <c r="AJ10" s="705"/>
      <c r="AK10" s="705"/>
      <c r="AL10" s="705"/>
      <c r="AM10" s="705"/>
      <c r="AN10" s="705"/>
      <c r="AO10" s="705"/>
      <c r="AP10" s="705"/>
      <c r="AQ10" s="705"/>
      <c r="AR10" s="705"/>
      <c r="AS10" s="705"/>
    </row>
    <row r="11" spans="1:45" ht="98.1" customHeight="1">
      <c r="A11" s="307"/>
      <c r="B11" s="440" t="s">
        <v>345</v>
      </c>
      <c r="C11" s="303" t="s">
        <v>0</v>
      </c>
      <c r="D11" s="303">
        <v>2.0299999999999998</v>
      </c>
      <c r="E11" s="339" t="s">
        <v>78</v>
      </c>
      <c r="F11" s="339" t="s">
        <v>78</v>
      </c>
      <c r="G11" s="339">
        <f>ROUND(57840*(1-$E$42),2)</f>
        <v>57840</v>
      </c>
      <c r="H11" s="339">
        <f>ROUND(65072*(1-$E$42),2)</f>
        <v>65072</v>
      </c>
      <c r="I11" s="339">
        <f>ROUND(85052*(1-$E$42),2)</f>
        <v>85052</v>
      </c>
      <c r="J11" s="339">
        <f>ROUND(93560*(1-$E$42),2)</f>
        <v>93560</v>
      </c>
      <c r="K11" s="339">
        <f>ROUND(102072*(1-$E$42),2)</f>
        <v>102072</v>
      </c>
      <c r="L11" s="339">
        <f>ROUND(110568*(1-$E$42),2)</f>
        <v>110568</v>
      </c>
      <c r="M11" s="339">
        <f>ROUND(119076*(1-$E$42),2)</f>
        <v>119076</v>
      </c>
      <c r="N11" s="339">
        <f>ROUND(127576*(1-$E$42),2)</f>
        <v>127576</v>
      </c>
      <c r="O11" s="339">
        <f>ROUND(136084*(1-$E$42),2)</f>
        <v>136084</v>
      </c>
      <c r="P11" s="339">
        <f>ROUND(144592*(1-$E$42),2)</f>
        <v>144592</v>
      </c>
      <c r="Q11" s="339">
        <f>ROUND(153096*(1-$E$42),2)</f>
        <v>153096</v>
      </c>
      <c r="R11" s="462"/>
      <c r="S11" s="706"/>
      <c r="T11" s="706"/>
      <c r="U11" s="706">
        <v>60732</v>
      </c>
      <c r="V11" s="706">
        <v>68325.600000000006</v>
      </c>
      <c r="W11" s="706">
        <v>89304.6</v>
      </c>
      <c r="X11" s="706">
        <v>98238</v>
      </c>
      <c r="Y11" s="706">
        <v>107175.6</v>
      </c>
      <c r="Z11" s="706">
        <v>116096.40000000001</v>
      </c>
      <c r="AA11" s="706">
        <v>125029.8</v>
      </c>
      <c r="AB11" s="706">
        <v>133954.80000000002</v>
      </c>
      <c r="AC11" s="706">
        <v>142888.20000000001</v>
      </c>
      <c r="AD11" s="706">
        <v>151821.6</v>
      </c>
      <c r="AE11" s="706">
        <v>160750.80000000002</v>
      </c>
      <c r="AG11" s="28"/>
      <c r="AH11" s="28"/>
      <c r="AI11" s="705"/>
      <c r="AJ11" s="705"/>
      <c r="AK11" s="705"/>
      <c r="AL11" s="705"/>
      <c r="AM11" s="705"/>
      <c r="AN11" s="705"/>
      <c r="AO11" s="705"/>
      <c r="AP11" s="705"/>
      <c r="AQ11" s="705"/>
      <c r="AR11" s="705"/>
      <c r="AS11" s="705"/>
    </row>
    <row r="12" spans="1:45" ht="33" customHeight="1">
      <c r="A12" s="520" t="s">
        <v>420</v>
      </c>
      <c r="R12" s="460"/>
    </row>
    <row r="13" spans="1:45" ht="24.9" customHeight="1">
      <c r="A13" s="975" t="s">
        <v>147</v>
      </c>
      <c r="B13" s="1260" t="s">
        <v>83</v>
      </c>
      <c r="C13" s="1260" t="s">
        <v>84</v>
      </c>
      <c r="D13" s="1260" t="s">
        <v>137</v>
      </c>
      <c r="E13" s="1234" t="s">
        <v>138</v>
      </c>
      <c r="F13" s="1234"/>
      <c r="H13" s="1263" t="s">
        <v>79</v>
      </c>
      <c r="I13" s="1253"/>
      <c r="J13" s="1253"/>
      <c r="K13" s="1253"/>
      <c r="L13" s="1253"/>
      <c r="M13" s="1253"/>
      <c r="N13" s="1253"/>
      <c r="O13" s="1253"/>
      <c r="P13" s="1253"/>
      <c r="Q13" s="1254"/>
      <c r="R13" s="462"/>
    </row>
    <row r="14" spans="1:45" ht="24.9" customHeight="1">
      <c r="A14" s="975"/>
      <c r="B14" s="1261"/>
      <c r="C14" s="1261"/>
      <c r="D14" s="1261"/>
      <c r="E14" s="337">
        <v>3.5</v>
      </c>
      <c r="F14" s="337">
        <v>4.5</v>
      </c>
      <c r="H14" s="956" t="s">
        <v>401</v>
      </c>
      <c r="I14" s="957"/>
      <c r="J14" s="957"/>
      <c r="K14" s="957"/>
      <c r="L14" s="957"/>
      <c r="M14" s="957"/>
      <c r="N14" s="957"/>
      <c r="O14" s="957"/>
      <c r="P14" s="957"/>
      <c r="Q14" s="958"/>
      <c r="R14" s="462"/>
    </row>
    <row r="15" spans="1:45" ht="33" customHeight="1">
      <c r="A15" s="1235"/>
      <c r="B15" s="340" t="s">
        <v>85</v>
      </c>
      <c r="C15" s="1250" t="s">
        <v>143</v>
      </c>
      <c r="D15" s="341">
        <v>2</v>
      </c>
      <c r="E15" s="342">
        <f>ROUND(R15*(1-$E$42),2)</f>
        <v>68373.899999999994</v>
      </c>
      <c r="F15" s="342">
        <f t="shared" ref="F15:F17" si="2">ROUND(S15*(1-$E$42),2)</f>
        <v>87909.15</v>
      </c>
      <c r="H15" s="1238"/>
      <c r="I15" s="1232"/>
      <c r="J15" s="1232"/>
      <c r="K15" s="1232"/>
      <c r="L15" s="1232"/>
      <c r="M15" s="1232"/>
      <c r="N15" s="1232"/>
      <c r="O15" s="1232"/>
      <c r="P15" s="1232"/>
      <c r="Q15" s="1226"/>
      <c r="R15" s="707">
        <v>68373.900000000009</v>
      </c>
      <c r="S15" s="707">
        <v>87909.150000000009</v>
      </c>
    </row>
    <row r="16" spans="1:45" ht="33" customHeight="1">
      <c r="A16" s="1235"/>
      <c r="B16" s="1264" t="s">
        <v>86</v>
      </c>
      <c r="C16" s="1001"/>
      <c r="D16" s="343">
        <v>2</v>
      </c>
      <c r="E16" s="344">
        <f t="shared" ref="E16:E17" si="3">ROUND(R16*(1-$E$42),2)</f>
        <v>78142.05</v>
      </c>
      <c r="F16" s="344">
        <f t="shared" si="2"/>
        <v>100468.2</v>
      </c>
      <c r="H16" s="1238"/>
      <c r="I16" s="1232"/>
      <c r="J16" s="1232"/>
      <c r="K16" s="1232"/>
      <c r="L16" s="1232"/>
      <c r="M16" s="1232"/>
      <c r="N16" s="1232"/>
      <c r="O16" s="1232"/>
      <c r="P16" s="1232"/>
      <c r="Q16" s="1226"/>
      <c r="R16" s="707">
        <v>78142.05</v>
      </c>
      <c r="S16" s="707">
        <v>100468.2</v>
      </c>
    </row>
    <row r="17" spans="1:22" ht="33" customHeight="1">
      <c r="A17" s="1235"/>
      <c r="B17" s="1265"/>
      <c r="C17" s="1251"/>
      <c r="D17" s="345">
        <v>2.4</v>
      </c>
      <c r="E17" s="346">
        <f t="shared" si="3"/>
        <v>93770.25</v>
      </c>
      <c r="F17" s="346">
        <f t="shared" si="2"/>
        <v>120772.05</v>
      </c>
      <c r="H17" s="1238"/>
      <c r="I17" s="1232"/>
      <c r="J17" s="1232"/>
      <c r="K17" s="1232"/>
      <c r="L17" s="1232"/>
      <c r="M17" s="1232"/>
      <c r="N17" s="1232"/>
      <c r="O17" s="1232"/>
      <c r="P17" s="1232"/>
      <c r="Q17" s="1226"/>
      <c r="R17" s="707">
        <v>93770.25</v>
      </c>
      <c r="S17" s="707">
        <v>120772.05</v>
      </c>
    </row>
    <row r="18" spans="1:22" ht="19.5" customHeight="1">
      <c r="A18" s="351"/>
      <c r="B18" s="441"/>
      <c r="C18" s="439"/>
      <c r="D18" s="441"/>
      <c r="E18" s="442"/>
      <c r="F18" s="442"/>
      <c r="H18" s="959"/>
      <c r="I18" s="960"/>
      <c r="J18" s="960"/>
      <c r="K18" s="960"/>
      <c r="L18" s="960"/>
      <c r="M18" s="960"/>
      <c r="N18" s="960"/>
      <c r="O18" s="960"/>
      <c r="P18" s="960"/>
      <c r="Q18" s="961"/>
      <c r="R18" s="462"/>
      <c r="S18" s="460"/>
    </row>
    <row r="19" spans="1:22" ht="20.100000000000001" customHeight="1">
      <c r="A19" s="197"/>
      <c r="B19" s="197"/>
      <c r="C19" s="197"/>
      <c r="D19" s="19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197"/>
      <c r="P19" s="197"/>
      <c r="Q19" s="197"/>
      <c r="R19" s="463"/>
      <c r="S19" s="460"/>
    </row>
    <row r="20" spans="1:22" ht="50.1" customHeight="1">
      <c r="A20" s="1252" t="s">
        <v>80</v>
      </c>
      <c r="B20" s="1253"/>
      <c r="C20" s="1253"/>
      <c r="D20" s="1253"/>
      <c r="E20" s="1253"/>
      <c r="F20" s="1253"/>
      <c r="G20" s="1253"/>
      <c r="H20" s="1253"/>
      <c r="I20" s="1253"/>
      <c r="J20" s="1253"/>
      <c r="K20" s="1254"/>
      <c r="L20" s="1244" t="s">
        <v>202</v>
      </c>
      <c r="M20" s="1245"/>
      <c r="N20" s="1246"/>
      <c r="O20" s="1244" t="s">
        <v>203</v>
      </c>
      <c r="P20" s="1245"/>
      <c r="Q20" s="1246"/>
      <c r="R20" s="460"/>
      <c r="S20" s="460"/>
    </row>
    <row r="21" spans="1:22" ht="84.9" customHeight="1">
      <c r="A21" s="1256" t="s">
        <v>301</v>
      </c>
      <c r="B21" s="1257"/>
      <c r="C21" s="1257"/>
      <c r="D21" s="1257" t="s">
        <v>411</v>
      </c>
      <c r="E21" s="1257"/>
      <c r="F21" s="1257"/>
      <c r="G21" s="1257"/>
      <c r="H21" s="1257"/>
      <c r="I21" s="1257"/>
      <c r="J21" s="1257"/>
      <c r="K21" s="1258"/>
      <c r="L21" s="1240">
        <f>ROUND(R21*(1-$E$42),2)</f>
        <v>31432</v>
      </c>
      <c r="M21" s="1241"/>
      <c r="N21" s="1242"/>
      <c r="O21" s="1240">
        <f>ROUND(S21*(1-$E$42),2)</f>
        <v>38056</v>
      </c>
      <c r="P21" s="1241"/>
      <c r="Q21" s="1242"/>
      <c r="R21" s="708">
        <v>31432</v>
      </c>
      <c r="S21" s="708">
        <v>38056</v>
      </c>
      <c r="T21" s="28"/>
      <c r="U21" s="28"/>
      <c r="V21" s="28"/>
    </row>
    <row r="22" spans="1:22" ht="27.75" customHeight="1">
      <c r="A22" s="1243" t="s">
        <v>204</v>
      </c>
      <c r="B22" s="1243"/>
      <c r="C22" s="1243"/>
      <c r="D22" s="1243"/>
      <c r="E22" s="1243"/>
      <c r="F22" s="1243"/>
      <c r="G22" s="1243"/>
      <c r="H22" s="1243"/>
      <c r="I22" s="1243"/>
      <c r="J22" s="1243"/>
      <c r="K22" s="1243"/>
      <c r="L22" s="1243"/>
      <c r="M22" s="1243"/>
      <c r="N22" s="1243"/>
      <c r="O22" s="1243"/>
      <c r="P22" s="1243"/>
      <c r="Q22" s="1243"/>
      <c r="R22" s="461"/>
      <c r="S22" s="461"/>
      <c r="U22" s="28"/>
      <c r="V22" s="28"/>
    </row>
    <row r="23" spans="1:22" ht="43.5" customHeight="1">
      <c r="A23" s="1236" t="s">
        <v>361</v>
      </c>
      <c r="B23" s="1237"/>
      <c r="C23" s="1237" t="s">
        <v>362</v>
      </c>
      <c r="D23" s="1237"/>
      <c r="E23" s="1237"/>
      <c r="F23" s="1237" t="s">
        <v>363</v>
      </c>
      <c r="G23" s="1237"/>
      <c r="H23" s="1237"/>
      <c r="I23" s="467"/>
      <c r="J23" s="467"/>
      <c r="K23" s="468"/>
      <c r="L23" s="1247">
        <f>ROUND(R23*(1-$E$42),2)</f>
        <v>14906</v>
      </c>
      <c r="M23" s="1248"/>
      <c r="N23" s="1249"/>
      <c r="O23" s="1247">
        <f>ROUND(S23*(1-$E$42),2)</f>
        <v>18216</v>
      </c>
      <c r="P23" s="1248"/>
      <c r="Q23" s="1249"/>
      <c r="R23" s="709">
        <v>14906</v>
      </c>
      <c r="S23" s="707">
        <v>18216</v>
      </c>
      <c r="U23" s="28"/>
      <c r="V23" s="28"/>
    </row>
    <row r="24" spans="1:22" ht="20.100000000000001" customHeight="1">
      <c r="A24" s="465"/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6"/>
      <c r="M24" s="466"/>
      <c r="N24" s="466"/>
      <c r="O24" s="466"/>
      <c r="P24" s="466"/>
      <c r="Q24" s="466"/>
      <c r="R24" s="461"/>
      <c r="S24" s="461"/>
    </row>
    <row r="25" spans="1:22" ht="45" customHeight="1">
      <c r="A25" s="1266" t="s">
        <v>365</v>
      </c>
      <c r="B25" s="1267"/>
      <c r="C25" s="1267"/>
      <c r="D25" s="1267"/>
      <c r="E25" s="1267"/>
      <c r="F25" s="1267"/>
      <c r="G25" s="1267"/>
      <c r="H25" s="1267"/>
      <c r="I25" s="1268"/>
      <c r="J25" s="453" t="s">
        <v>77</v>
      </c>
      <c r="K25" s="354"/>
      <c r="L25" s="1234" t="s">
        <v>364</v>
      </c>
      <c r="M25" s="1234"/>
      <c r="N25" s="1234"/>
      <c r="O25" s="1234"/>
      <c r="P25" s="1234"/>
      <c r="Q25" s="453" t="s">
        <v>77</v>
      </c>
      <c r="R25" s="460"/>
      <c r="S25" s="460"/>
    </row>
    <row r="26" spans="1:22" ht="24.9" customHeight="1">
      <c r="A26" s="1295" t="s">
        <v>40</v>
      </c>
      <c r="B26" s="1296"/>
      <c r="C26" s="1280" t="s">
        <v>112</v>
      </c>
      <c r="D26" s="1281"/>
      <c r="E26" s="1271" t="s">
        <v>211</v>
      </c>
      <c r="F26" s="1272"/>
      <c r="G26" s="1273"/>
      <c r="H26" s="1271" t="s">
        <v>219</v>
      </c>
      <c r="I26" s="1273"/>
      <c r="J26" s="1299" t="e">
        <f>ROUND((#REF!+#REF!+#REF!)*(1-$E$42),2)</f>
        <v>#REF!</v>
      </c>
      <c r="L26" s="1289" t="s">
        <v>549</v>
      </c>
      <c r="M26" s="1290"/>
      <c r="N26" s="1290"/>
      <c r="O26" s="1290"/>
      <c r="P26" s="1291"/>
      <c r="Q26" s="686">
        <f>ROUND(S26*(1-$E$42),2)</f>
        <v>2234</v>
      </c>
      <c r="R26" s="460"/>
      <c r="S26" s="707">
        <v>2234</v>
      </c>
    </row>
    <row r="27" spans="1:22" ht="24.9" customHeight="1">
      <c r="A27" s="1295"/>
      <c r="B27" s="1297"/>
      <c r="C27" s="1282"/>
      <c r="D27" s="1283"/>
      <c r="E27" s="1274" t="s">
        <v>194</v>
      </c>
      <c r="F27" s="1275"/>
      <c r="G27" s="1276"/>
      <c r="H27" s="1274" t="s">
        <v>113</v>
      </c>
      <c r="I27" s="1276"/>
      <c r="J27" s="1300"/>
      <c r="K27" s="352"/>
      <c r="L27" s="1292" t="s">
        <v>152</v>
      </c>
      <c r="M27" s="1293"/>
      <c r="N27" s="1293"/>
      <c r="O27" s="1293"/>
      <c r="P27" s="1294"/>
      <c r="Q27" s="459">
        <f>ROUND(S27*(1-$E$42),2)</f>
        <v>1210</v>
      </c>
      <c r="R27" s="460"/>
      <c r="S27" s="707">
        <v>1210</v>
      </c>
    </row>
    <row r="28" spans="1:22" ht="24.9" customHeight="1">
      <c r="A28" s="1295"/>
      <c r="B28" s="1297"/>
      <c r="C28" s="1282"/>
      <c r="D28" s="1283"/>
      <c r="E28" s="1274" t="s">
        <v>195</v>
      </c>
      <c r="F28" s="1275"/>
      <c r="G28" s="1276"/>
      <c r="H28" s="1274" t="s">
        <v>196</v>
      </c>
      <c r="I28" s="1276"/>
      <c r="J28" s="1300"/>
      <c r="K28" s="352"/>
      <c r="L28" s="1292" t="s">
        <v>213</v>
      </c>
      <c r="M28" s="1293"/>
      <c r="N28" s="1293"/>
      <c r="O28" s="1293"/>
      <c r="P28" s="1294"/>
      <c r="Q28" s="459">
        <f>ROUND(S28*(1-$E$42),2)</f>
        <v>6610</v>
      </c>
      <c r="R28" s="460"/>
      <c r="S28" s="707">
        <v>6610</v>
      </c>
    </row>
    <row r="29" spans="1:22" ht="24.9" customHeight="1">
      <c r="A29" s="1295"/>
      <c r="B29" s="1297"/>
      <c r="C29" s="1282"/>
      <c r="D29" s="1283"/>
      <c r="E29" s="1274" t="s">
        <v>197</v>
      </c>
      <c r="F29" s="1275"/>
      <c r="G29" s="1276"/>
      <c r="H29" s="1274" t="s">
        <v>198</v>
      </c>
      <c r="I29" s="1276"/>
      <c r="J29" s="1300"/>
      <c r="K29" s="458"/>
      <c r="L29" s="1292" t="s">
        <v>153</v>
      </c>
      <c r="M29" s="1293"/>
      <c r="N29" s="1293"/>
      <c r="O29" s="1293"/>
      <c r="P29" s="1294"/>
      <c r="Q29" s="459">
        <f>ROUND(S29*(1-$E$42),2)</f>
        <v>3775</v>
      </c>
      <c r="R29" s="460"/>
      <c r="S29" s="707">
        <v>3775</v>
      </c>
    </row>
    <row r="30" spans="1:22" ht="24.9" customHeight="1">
      <c r="A30" s="1295"/>
      <c r="B30" s="1297"/>
      <c r="C30" s="1282"/>
      <c r="D30" s="1283"/>
      <c r="E30" s="1274" t="s">
        <v>216</v>
      </c>
      <c r="F30" s="1275"/>
      <c r="G30" s="1276"/>
      <c r="H30" s="1274" t="s">
        <v>215</v>
      </c>
      <c r="I30" s="1276"/>
      <c r="J30" s="1300"/>
      <c r="K30" s="458"/>
    </row>
    <row r="31" spans="1:22" s="28" customFormat="1" ht="24.9" customHeight="1">
      <c r="A31" s="1295"/>
      <c r="B31" s="1298"/>
      <c r="C31" s="1284"/>
      <c r="D31" s="1285"/>
      <c r="E31" s="1277" t="s">
        <v>217</v>
      </c>
      <c r="F31" s="1278"/>
      <c r="G31" s="1279"/>
      <c r="H31" s="1277" t="s">
        <v>215</v>
      </c>
      <c r="I31" s="1279"/>
      <c r="J31" s="1301"/>
      <c r="K31" s="456"/>
      <c r="L31" s="456"/>
      <c r="M31" s="456"/>
      <c r="N31" s="456"/>
      <c r="O31" s="457"/>
      <c r="P31" s="457"/>
      <c r="Q31" s="457"/>
      <c r="R31" s="464"/>
    </row>
    <row r="32" spans="1:22" s="28" customFormat="1" ht="24.9" customHeight="1">
      <c r="A32" s="491"/>
      <c r="B32" s="491"/>
      <c r="C32" s="492"/>
      <c r="D32" s="492"/>
      <c r="E32" s="493"/>
      <c r="F32" s="493"/>
      <c r="G32" s="493"/>
      <c r="H32" s="493"/>
      <c r="I32" s="493"/>
      <c r="J32" s="494"/>
      <c r="K32" s="456"/>
      <c r="L32" s="456"/>
      <c r="M32" s="456"/>
      <c r="N32" s="456"/>
      <c r="O32" s="457"/>
      <c r="P32" s="457"/>
      <c r="Q32" s="457"/>
      <c r="R32" s="464"/>
    </row>
    <row r="33" spans="1:18" s="28" customFormat="1" ht="24.9" customHeight="1">
      <c r="A33" s="901" t="s">
        <v>394</v>
      </c>
      <c r="B33" s="901"/>
      <c r="C33" s="901"/>
      <c r="D33" s="901"/>
      <c r="E33" s="901"/>
      <c r="F33" s="901"/>
      <c r="G33" s="901"/>
      <c r="H33" s="901"/>
      <c r="I33" s="901"/>
      <c r="J33" s="496" t="s">
        <v>77</v>
      </c>
      <c r="K33" s="456"/>
      <c r="L33" s="456"/>
      <c r="M33" s="456"/>
      <c r="N33" s="456"/>
      <c r="O33" s="457"/>
      <c r="P33" s="457"/>
      <c r="Q33" s="457"/>
      <c r="R33" s="464"/>
    </row>
    <row r="34" spans="1:18" s="28" customFormat="1" ht="98.1" customHeight="1">
      <c r="A34" s="495" t="s">
        <v>395</v>
      </c>
      <c r="B34" s="495"/>
      <c r="C34" s="1286" t="s">
        <v>397</v>
      </c>
      <c r="D34" s="1286"/>
      <c r="E34" s="1286"/>
      <c r="F34" s="1286"/>
      <c r="G34" s="1286"/>
      <c r="H34" s="1287" t="s">
        <v>399</v>
      </c>
      <c r="I34" s="1287"/>
      <c r="J34" s="459">
        <f>ROUND(R34*(1-$E$42),2)</f>
        <v>1400</v>
      </c>
      <c r="K34" s="456"/>
      <c r="L34" s="456"/>
      <c r="M34" s="456"/>
      <c r="N34" s="456"/>
      <c r="O34" s="457"/>
      <c r="P34" s="457"/>
      <c r="Q34" s="457"/>
      <c r="R34" s="464">
        <v>1400</v>
      </c>
    </row>
    <row r="35" spans="1:18" s="28" customFormat="1" ht="98.1" customHeight="1">
      <c r="A35" s="495" t="s">
        <v>396</v>
      </c>
      <c r="B35" s="495"/>
      <c r="C35" s="1286" t="s">
        <v>398</v>
      </c>
      <c r="D35" s="1286"/>
      <c r="E35" s="1286"/>
      <c r="F35" s="1286"/>
      <c r="G35" s="1286"/>
      <c r="H35" s="1287" t="s">
        <v>400</v>
      </c>
      <c r="I35" s="1287"/>
      <c r="J35" s="459">
        <f>ROUND(R35*(1-$E$42),2)</f>
        <v>495</v>
      </c>
      <c r="K35" s="456"/>
      <c r="L35" s="456"/>
      <c r="M35" s="456"/>
      <c r="N35" s="456"/>
      <c r="O35" s="457"/>
      <c r="P35" s="457"/>
      <c r="Q35" s="457"/>
      <c r="R35" s="464">
        <v>495</v>
      </c>
    </row>
    <row r="36" spans="1:18" s="28" customFormat="1" ht="20.100000000000001" customHeight="1">
      <c r="A36" s="353"/>
      <c r="B36" s="353"/>
      <c r="C36" s="353"/>
      <c r="D36" s="353"/>
      <c r="E36" s="353"/>
      <c r="F36" s="353"/>
      <c r="G36" s="353"/>
      <c r="H36" s="353"/>
      <c r="I36" s="353"/>
      <c r="J36" s="353"/>
      <c r="K36" s="353"/>
      <c r="L36" s="353"/>
      <c r="M36" s="354"/>
      <c r="N36" s="354"/>
      <c r="P36" s="457"/>
      <c r="Q36" s="457"/>
      <c r="R36" s="464"/>
    </row>
    <row r="37" spans="1:18" ht="48.75" customHeight="1">
      <c r="A37" s="1232" t="s">
        <v>90</v>
      </c>
      <c r="B37" s="1232"/>
      <c r="C37" s="1232"/>
      <c r="D37" s="1232"/>
      <c r="E37" s="1232"/>
      <c r="F37" s="1232"/>
      <c r="G37" s="1232"/>
      <c r="H37" s="1288" t="s">
        <v>259</v>
      </c>
      <c r="I37" s="1288"/>
      <c r="J37" s="1288"/>
      <c r="K37" s="1288"/>
      <c r="L37" s="1288"/>
      <c r="M37" s="1288"/>
      <c r="N37" s="1288"/>
      <c r="O37" s="1288"/>
      <c r="P37" s="1288"/>
      <c r="Q37" s="1288"/>
    </row>
    <row r="38" spans="1:18">
      <c r="A38" s="9" t="s">
        <v>91</v>
      </c>
      <c r="H38" s="1288"/>
      <c r="I38" s="1288"/>
      <c r="J38" s="1288"/>
      <c r="K38" s="1288"/>
      <c r="L38" s="1288"/>
      <c r="M38" s="1288"/>
      <c r="N38" s="1288"/>
      <c r="O38" s="1288"/>
      <c r="P38" s="1288"/>
      <c r="Q38" s="1288"/>
    </row>
    <row r="39" spans="1:18">
      <c r="A39" s="9" t="s">
        <v>92</v>
      </c>
      <c r="H39" s="348" t="s">
        <v>124</v>
      </c>
    </row>
    <row r="40" spans="1:18" ht="16.5" customHeight="1">
      <c r="B40" s="187"/>
      <c r="C40" s="187"/>
      <c r="D40" s="187"/>
      <c r="E40" s="187"/>
      <c r="F40" s="187"/>
      <c r="G40" s="187"/>
      <c r="H40" s="187"/>
      <c r="I40" s="187"/>
      <c r="J40" s="187"/>
      <c r="K40" s="187"/>
      <c r="L40" s="25"/>
      <c r="M40" s="25"/>
      <c r="N40" s="25"/>
      <c r="O40" s="25"/>
      <c r="P40" s="28"/>
      <c r="Q40" s="25"/>
      <c r="R40" s="47"/>
    </row>
    <row r="41" spans="1:18" ht="30">
      <c r="A41" s="45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47"/>
      <c r="M41" s="47"/>
      <c r="N41" s="47"/>
      <c r="O41" s="47"/>
      <c r="P41" s="46"/>
      <c r="Q41" s="47"/>
      <c r="R41" s="47"/>
    </row>
    <row r="42" spans="1:18" ht="67.5" customHeight="1">
      <c r="A42" s="1269" t="s">
        <v>93</v>
      </c>
      <c r="B42" s="1269"/>
      <c r="C42" s="1269"/>
      <c r="D42" s="1269"/>
      <c r="E42" s="1270">
        <v>0</v>
      </c>
      <c r="F42" s="1270"/>
      <c r="G42" s="47"/>
      <c r="H42" s="47"/>
      <c r="I42" s="47"/>
      <c r="J42" s="47"/>
      <c r="K42" s="47"/>
      <c r="L42" s="47"/>
      <c r="M42" s="47"/>
      <c r="N42" s="47"/>
      <c r="O42" s="63"/>
      <c r="P42" s="64"/>
      <c r="Q42" s="64"/>
      <c r="R42" s="64"/>
    </row>
    <row r="43" spans="1:18" ht="14.25" customHeight="1">
      <c r="A43" s="44"/>
      <c r="B43" s="44"/>
      <c r="C43" s="44"/>
      <c r="D43" s="44"/>
      <c r="E43" s="44"/>
      <c r="F43" s="44"/>
      <c r="G43" s="47"/>
      <c r="H43" s="47"/>
      <c r="I43" s="44"/>
      <c r="J43" s="44"/>
      <c r="K43" s="44"/>
      <c r="L43" s="44"/>
      <c r="M43" s="44"/>
      <c r="N43" s="44"/>
      <c r="O43" s="44"/>
      <c r="P43" s="44"/>
      <c r="Q43" s="44"/>
      <c r="R43" s="44"/>
    </row>
    <row r="44" spans="1:18" ht="18" customHeight="1">
      <c r="G44" s="25"/>
      <c r="H44" s="25"/>
    </row>
  </sheetData>
  <dataConsolidate/>
  <mergeCells count="69">
    <mergeCell ref="A26:A31"/>
    <mergeCell ref="B26:B31"/>
    <mergeCell ref="H31:I31"/>
    <mergeCell ref="J26:J31"/>
    <mergeCell ref="H27:I27"/>
    <mergeCell ref="H28:I28"/>
    <mergeCell ref="H35:I35"/>
    <mergeCell ref="H37:Q38"/>
    <mergeCell ref="H29:I29"/>
    <mergeCell ref="H30:I30"/>
    <mergeCell ref="H26:I26"/>
    <mergeCell ref="H34:I34"/>
    <mergeCell ref="L26:P26"/>
    <mergeCell ref="L27:P27"/>
    <mergeCell ref="L28:P28"/>
    <mergeCell ref="L29:P29"/>
    <mergeCell ref="L25:P25"/>
    <mergeCell ref="A42:D42"/>
    <mergeCell ref="E42:F42"/>
    <mergeCell ref="A37:G37"/>
    <mergeCell ref="E26:G26"/>
    <mergeCell ref="E27:G27"/>
    <mergeCell ref="E28:G28"/>
    <mergeCell ref="E29:G29"/>
    <mergeCell ref="E30:G30"/>
    <mergeCell ref="E31:G31"/>
    <mergeCell ref="C26:D31"/>
    <mergeCell ref="E34:G34"/>
    <mergeCell ref="E35:G35"/>
    <mergeCell ref="C35:D35"/>
    <mergeCell ref="C34:D34"/>
    <mergeCell ref="A33:I33"/>
    <mergeCell ref="D3:D4"/>
    <mergeCell ref="B16:B17"/>
    <mergeCell ref="C23:E23"/>
    <mergeCell ref="A25:I25"/>
    <mergeCell ref="F23:H23"/>
    <mergeCell ref="L20:N20"/>
    <mergeCell ref="B2:M2"/>
    <mergeCell ref="A21:C21"/>
    <mergeCell ref="D21:K21"/>
    <mergeCell ref="A8:A10"/>
    <mergeCell ref="C13:C14"/>
    <mergeCell ref="D13:D14"/>
    <mergeCell ref="A13:A14"/>
    <mergeCell ref="B8:B10"/>
    <mergeCell ref="C8:C10"/>
    <mergeCell ref="H13:Q13"/>
    <mergeCell ref="B13:B14"/>
    <mergeCell ref="A3:A4"/>
    <mergeCell ref="B3:B4"/>
    <mergeCell ref="C3:C4"/>
    <mergeCell ref="E3:Q3"/>
    <mergeCell ref="Q2:R2"/>
    <mergeCell ref="E13:F13"/>
    <mergeCell ref="A5:A7"/>
    <mergeCell ref="B5:B7"/>
    <mergeCell ref="A23:B23"/>
    <mergeCell ref="H14:Q18"/>
    <mergeCell ref="C5:C7"/>
    <mergeCell ref="O21:Q21"/>
    <mergeCell ref="L21:N21"/>
    <mergeCell ref="A22:Q22"/>
    <mergeCell ref="O20:Q20"/>
    <mergeCell ref="L23:N23"/>
    <mergeCell ref="O23:Q23"/>
    <mergeCell ref="A15:A17"/>
    <mergeCell ref="C15:C17"/>
    <mergeCell ref="A20:K20"/>
  </mergeCells>
  <phoneticPr fontId="24" type="noConversion"/>
  <printOptions horizontalCentered="1"/>
  <pageMargins left="0" right="0" top="0" bottom="0" header="0" footer="0"/>
  <pageSetup paperSize="9" scale="40" orientation="landscape" r:id="rId1"/>
  <headerFooter scaleWithDoc="0">
    <oddFooter>&amp;R&amp;"Arial Cyr,полужирный"&amp;8стр. &amp;P из &amp;N &amp;"Arial Cyr,обычный"&amp;A</oddFooter>
  </headerFooter>
  <drawing r:id="rId2"/>
  <legacyDrawing r:id="rId3"/>
  <oleObjects>
    <mc:AlternateContent xmlns:mc="http://schemas.openxmlformats.org/markup-compatibility/2006">
      <mc:Choice Requires="x14">
        <oleObject progId="CorelDRAW.Graphic.13" shapeId="14848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1" r:id="rId4"/>
      </mc:Fallback>
    </mc:AlternateContent>
    <mc:AlternateContent xmlns:mc="http://schemas.openxmlformats.org/markup-compatibility/2006">
      <mc:Choice Requires="x14">
        <oleObject progId="CorelDRAW.Graphic.13" shapeId="148482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2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V91"/>
  <sheetViews>
    <sheetView showGridLines="0" tabSelected="1" zoomScale="45" zoomScaleNormal="45" zoomScaleSheetLayoutView="25" zoomScalePageLayoutView="25" workbookViewId="0">
      <selection activeCell="AJ11" sqref="AJ11"/>
    </sheetView>
  </sheetViews>
  <sheetFormatPr defaultRowHeight="30"/>
  <cols>
    <col min="1" max="1" width="29.88671875" style="8" customWidth="1"/>
    <col min="2" max="2" width="26.6640625" style="8" customWidth="1"/>
    <col min="3" max="3" width="22.5546875" style="8" customWidth="1"/>
    <col min="4" max="5" width="16.6640625" style="8" customWidth="1"/>
    <col min="6" max="17" width="22.88671875" style="8" customWidth="1"/>
    <col min="18" max="18" width="22.88671875" customWidth="1"/>
    <col min="19" max="19" width="11" style="603" hidden="1" customWidth="1"/>
    <col min="20" max="20" width="14.88671875" style="197" hidden="1" customWidth="1"/>
    <col min="21" max="21" width="17" style="197" hidden="1" customWidth="1"/>
    <col min="22" max="26" width="14.88671875" style="197" hidden="1" customWidth="1"/>
    <col min="27" max="31" width="17.44140625" style="197" hidden="1" customWidth="1"/>
    <col min="32" max="32" width="9.109375" style="197" hidden="1" customWidth="1"/>
    <col min="33" max="33" width="17.44140625" style="197" hidden="1" customWidth="1"/>
    <col min="34" max="34" width="9.109375" style="587" customWidth="1"/>
    <col min="35" max="36" width="14.88671875" style="587" bestFit="1" customWidth="1"/>
    <col min="37" max="37" width="4.6640625" style="587" bestFit="1" customWidth="1"/>
    <col min="38" max="41" width="14.88671875" style="587" bestFit="1" customWidth="1"/>
    <col min="42" max="45" width="17.44140625" style="587" bestFit="1" customWidth="1"/>
    <col min="46" max="47" width="17.44140625" bestFit="1" customWidth="1"/>
    <col min="48" max="48" width="4.6640625" bestFit="1" customWidth="1"/>
    <col min="49" max="49" width="17.44140625" bestFit="1" customWidth="1"/>
    <col min="50" max="50" width="4.6640625" bestFit="1" customWidth="1"/>
    <col min="51" max="52" width="14.88671875" bestFit="1" customWidth="1"/>
    <col min="53" max="53" width="4.6640625" bestFit="1" customWidth="1"/>
    <col min="54" max="57" width="14.88671875" bestFit="1" customWidth="1"/>
    <col min="58" max="58" width="17.44140625" bestFit="1" customWidth="1"/>
  </cols>
  <sheetData>
    <row r="1" spans="1:58" ht="75.75" customHeight="1">
      <c r="A1" s="177"/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586"/>
    </row>
    <row r="2" spans="1:58" ht="33" customHeight="1">
      <c r="C2" s="1408" t="s">
        <v>457</v>
      </c>
      <c r="D2" s="1408"/>
      <c r="E2" s="1408"/>
      <c r="F2" s="1408"/>
      <c r="G2" s="1408"/>
      <c r="H2" s="1408"/>
      <c r="I2" s="1408"/>
      <c r="J2" s="1408"/>
      <c r="K2" s="1408"/>
      <c r="L2" s="1408"/>
      <c r="M2" s="1408"/>
      <c r="N2" s="1408"/>
      <c r="Q2" s="588" t="s">
        <v>225</v>
      </c>
      <c r="R2" s="755">
        <v>42989</v>
      </c>
      <c r="S2" s="755"/>
    </row>
    <row r="3" spans="1:58" s="590" customFormat="1" ht="27.75" customHeight="1">
      <c r="A3" s="1494" t="s">
        <v>458</v>
      </c>
      <c r="B3" s="1495" t="s">
        <v>136</v>
      </c>
      <c r="C3" s="1495" t="s">
        <v>84</v>
      </c>
      <c r="D3" s="1494" t="s">
        <v>137</v>
      </c>
      <c r="E3" s="1494"/>
      <c r="F3" s="1496" t="s">
        <v>138</v>
      </c>
      <c r="G3" s="1497"/>
      <c r="H3" s="1497"/>
      <c r="I3" s="1497"/>
      <c r="J3" s="1497"/>
      <c r="K3" s="1497"/>
      <c r="L3" s="1497"/>
      <c r="M3" s="1497"/>
      <c r="N3" s="1497"/>
      <c r="O3" s="1497"/>
      <c r="P3" s="1497"/>
      <c r="Q3" s="1497"/>
      <c r="R3" s="1498"/>
      <c r="S3" s="351"/>
      <c r="T3" s="1427" t="s">
        <v>44</v>
      </c>
      <c r="U3" s="1427"/>
      <c r="V3" s="1427"/>
      <c r="W3" s="1427"/>
      <c r="X3" s="1427"/>
      <c r="Y3" s="1427"/>
      <c r="Z3" s="1427"/>
      <c r="AA3" s="1427"/>
      <c r="AB3" s="1427"/>
      <c r="AC3" s="1427"/>
      <c r="AD3" s="1427"/>
      <c r="AE3" s="1427"/>
      <c r="AF3" s="1427"/>
      <c r="AG3" s="1427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</row>
    <row r="4" spans="1:58" s="590" customFormat="1" ht="27.75" customHeight="1">
      <c r="A4" s="1494"/>
      <c r="B4" s="1499"/>
      <c r="C4" s="1499"/>
      <c r="D4" s="1494"/>
      <c r="E4" s="1494"/>
      <c r="F4" s="1500">
        <v>3</v>
      </c>
      <c r="G4" s="1501">
        <v>3.5</v>
      </c>
      <c r="H4" s="1500">
        <v>4</v>
      </c>
      <c r="I4" s="1500">
        <v>4.5</v>
      </c>
      <c r="J4" s="1500">
        <v>5</v>
      </c>
      <c r="K4" s="1500">
        <v>5.5</v>
      </c>
      <c r="L4" s="1500">
        <v>6</v>
      </c>
      <c r="M4" s="1500">
        <v>6.5</v>
      </c>
      <c r="N4" s="1500">
        <v>7</v>
      </c>
      <c r="O4" s="1500">
        <v>7.5</v>
      </c>
      <c r="P4" s="1500">
        <v>8</v>
      </c>
      <c r="Q4" s="1501">
        <v>8.5</v>
      </c>
      <c r="R4" s="1500">
        <v>9</v>
      </c>
      <c r="S4" s="35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89"/>
      <c r="AI4" s="589"/>
      <c r="AJ4" s="589"/>
      <c r="AK4" s="589"/>
      <c r="AL4" s="589"/>
      <c r="AM4" s="589"/>
      <c r="AN4" s="589"/>
      <c r="AO4" s="589"/>
      <c r="AP4" s="589"/>
      <c r="AQ4" s="589"/>
      <c r="AR4" s="589"/>
      <c r="AS4" s="589"/>
    </row>
    <row r="5" spans="1:58" ht="27.75" customHeight="1">
      <c r="A5" s="1259"/>
      <c r="B5" s="1016" t="s">
        <v>459</v>
      </c>
      <c r="C5" s="1006" t="s">
        <v>460</v>
      </c>
      <c r="D5" s="1262">
        <v>1.53</v>
      </c>
      <c r="E5" s="1262"/>
      <c r="F5" s="730">
        <f>ROUND(T5*(1-$G$63),2)</f>
        <v>32958.449999999997</v>
      </c>
      <c r="G5" s="731">
        <f>ROUND(U5*(1-$G$63),2)</f>
        <v>39177.599999999999</v>
      </c>
      <c r="H5" s="671" t="str">
        <f>ROUND(V5*(1-$G$63),2)&amp;"*"</f>
        <v>41727*</v>
      </c>
      <c r="I5" s="730">
        <f t="shared" ref="I5:Q8" si="0">ROUND(W5*(1-$G$63),2)</f>
        <v>44525.25</v>
      </c>
      <c r="J5" s="730">
        <f t="shared" si="0"/>
        <v>49500.15</v>
      </c>
      <c r="K5" s="730">
        <f t="shared" si="0"/>
        <v>60445.35</v>
      </c>
      <c r="L5" s="730">
        <f t="shared" si="0"/>
        <v>65917.95</v>
      </c>
      <c r="M5" s="730">
        <f t="shared" si="0"/>
        <v>71389.5</v>
      </c>
      <c r="N5" s="730">
        <f t="shared" si="0"/>
        <v>76738.2</v>
      </c>
      <c r="O5" s="730">
        <f t="shared" si="0"/>
        <v>82397.7</v>
      </c>
      <c r="P5" s="730">
        <f t="shared" si="0"/>
        <v>87869.25</v>
      </c>
      <c r="Q5" s="731">
        <f t="shared" si="0"/>
        <v>93341.85</v>
      </c>
      <c r="R5" s="730">
        <f>ROUND(AG5*(1-$G$63),2)</f>
        <v>99498</v>
      </c>
      <c r="S5" s="592"/>
      <c r="T5" s="714">
        <v>32958.450000000004</v>
      </c>
      <c r="U5" s="714">
        <v>39177.599999999999</v>
      </c>
      <c r="V5" s="714">
        <v>41727</v>
      </c>
      <c r="W5" s="714">
        <v>44525.25</v>
      </c>
      <c r="X5" s="714">
        <v>49500.15</v>
      </c>
      <c r="Y5" s="714">
        <v>60445.350000000006</v>
      </c>
      <c r="Z5" s="714">
        <v>65917.95</v>
      </c>
      <c r="AA5" s="714">
        <v>71389.5</v>
      </c>
      <c r="AB5" s="714">
        <v>76738.2</v>
      </c>
      <c r="AC5" s="714">
        <v>82397.7</v>
      </c>
      <c r="AD5" s="714">
        <v>87869.25</v>
      </c>
      <c r="AE5" s="714">
        <v>93341.85</v>
      </c>
      <c r="AF5" s="714">
        <v>0</v>
      </c>
      <c r="AG5" s="714">
        <v>99498</v>
      </c>
      <c r="AT5" s="587"/>
      <c r="AU5" s="587"/>
      <c r="AV5" s="587"/>
      <c r="AW5" s="587"/>
      <c r="AX5" s="587"/>
      <c r="AY5" s="587"/>
      <c r="AZ5" s="587"/>
      <c r="BA5" s="587"/>
      <c r="BB5" s="587"/>
      <c r="BC5" s="587"/>
      <c r="BD5" s="587"/>
      <c r="BE5" s="587"/>
      <c r="BF5" s="587"/>
    </row>
    <row r="6" spans="1:58" ht="27.75" customHeight="1">
      <c r="A6" s="1259"/>
      <c r="B6" s="1016"/>
      <c r="C6" s="1006"/>
      <c r="D6" s="1016">
        <v>1.73</v>
      </c>
      <c r="E6" s="1016"/>
      <c r="F6" s="730">
        <f>ROUND(T6*(1-$G$63),2)</f>
        <v>37933.35</v>
      </c>
      <c r="G6" s="731">
        <f>ROUND(U6*(1-$G$63),2)</f>
        <v>43530.9</v>
      </c>
      <c r="H6" s="671" t="str">
        <f>ROUND(V6*(1-$G$63),0)&amp;"*"</f>
        <v>44525*</v>
      </c>
      <c r="I6" s="730">
        <f t="shared" si="0"/>
        <v>50370.6</v>
      </c>
      <c r="J6" s="730">
        <f t="shared" si="0"/>
        <v>56092.05</v>
      </c>
      <c r="K6" s="730">
        <f t="shared" si="0"/>
        <v>68529.3</v>
      </c>
      <c r="L6" s="730">
        <f t="shared" si="0"/>
        <v>74623.5</v>
      </c>
      <c r="M6" s="730">
        <f t="shared" si="0"/>
        <v>80966.55</v>
      </c>
      <c r="N6" s="730">
        <f t="shared" si="0"/>
        <v>87123.75</v>
      </c>
      <c r="O6" s="730">
        <f t="shared" si="0"/>
        <v>93403.8</v>
      </c>
      <c r="P6" s="730">
        <f t="shared" si="0"/>
        <v>99561</v>
      </c>
      <c r="Q6" s="731">
        <f t="shared" si="0"/>
        <v>105779.1</v>
      </c>
      <c r="R6" s="730">
        <f>ROUND(AG6*(1-$G$63),2)</f>
        <v>111998.25</v>
      </c>
      <c r="S6" s="592"/>
      <c r="T6" s="714">
        <v>37933.35</v>
      </c>
      <c r="U6" s="714">
        <v>43530.9</v>
      </c>
      <c r="V6" s="714">
        <v>44525.25</v>
      </c>
      <c r="W6" s="714">
        <v>50370.6</v>
      </c>
      <c r="X6" s="714">
        <v>56092.05</v>
      </c>
      <c r="Y6" s="714">
        <v>68529.3</v>
      </c>
      <c r="Z6" s="714">
        <v>74623.5</v>
      </c>
      <c r="AA6" s="714">
        <v>80966.55</v>
      </c>
      <c r="AB6" s="714">
        <v>87123.75</v>
      </c>
      <c r="AC6" s="714">
        <v>93403.8</v>
      </c>
      <c r="AD6" s="714">
        <v>99561</v>
      </c>
      <c r="AE6" s="714">
        <v>105779.1</v>
      </c>
      <c r="AF6" s="714">
        <v>0</v>
      </c>
      <c r="AG6" s="714">
        <v>111998.25</v>
      </c>
      <c r="AT6" s="587"/>
      <c r="AU6" s="587"/>
      <c r="AV6" s="587"/>
      <c r="AW6" s="587"/>
      <c r="AX6" s="587"/>
      <c r="AY6" s="587"/>
      <c r="AZ6" s="587"/>
      <c r="BA6" s="587"/>
      <c r="BB6" s="587"/>
      <c r="BC6" s="587"/>
      <c r="BD6" s="587"/>
      <c r="BE6" s="587"/>
      <c r="BF6" s="587"/>
    </row>
    <row r="7" spans="1:58" ht="27.75" customHeight="1">
      <c r="A7" s="1259"/>
      <c r="B7" s="1016"/>
      <c r="C7" s="1006"/>
      <c r="D7" s="1016">
        <v>2.0299999999999998</v>
      </c>
      <c r="E7" s="1016"/>
      <c r="F7" s="671" t="str">
        <f>ROUND(T7*(1-$G$63),0)&amp;"*"</f>
        <v>42287*</v>
      </c>
      <c r="G7" s="731">
        <f>ROUND(U7*(1-$G$63),2)</f>
        <v>45707.55</v>
      </c>
      <c r="H7" s="671" t="str">
        <f>ROUND(V7*(1-$G$63),0)&amp;"**"</f>
        <v>46640**</v>
      </c>
      <c r="I7" s="730">
        <f>ROUND(W7*(1-$G$63),2)</f>
        <v>59326.05</v>
      </c>
      <c r="J7" s="671" t="str">
        <f>ROUND(X7*(1-$G$63),0)&amp;"*"</f>
        <v>65918*</v>
      </c>
      <c r="K7" s="730">
        <f t="shared" si="0"/>
        <v>80531.850000000006</v>
      </c>
      <c r="L7" s="671" t="str">
        <f>ROUND(Z7*(1-$G$63),0)&amp;"*"</f>
        <v>87869*</v>
      </c>
      <c r="M7" s="730">
        <f t="shared" si="0"/>
        <v>95144.7</v>
      </c>
      <c r="N7" s="730">
        <f t="shared" si="0"/>
        <v>102483.15</v>
      </c>
      <c r="O7" s="730">
        <f t="shared" si="0"/>
        <v>109820.55</v>
      </c>
      <c r="P7" s="730">
        <f t="shared" si="0"/>
        <v>117159</v>
      </c>
      <c r="Q7" s="731">
        <f t="shared" si="0"/>
        <v>124435.5</v>
      </c>
      <c r="R7" s="730">
        <f>ROUND(AG7*(1-$G$63),2)</f>
        <v>131834.85</v>
      </c>
      <c r="S7" s="592"/>
      <c r="T7" s="714">
        <v>42286.65</v>
      </c>
      <c r="U7" s="714">
        <v>45707.55</v>
      </c>
      <c r="V7" s="714">
        <v>46639.950000000004</v>
      </c>
      <c r="W7" s="714">
        <v>59326.05</v>
      </c>
      <c r="X7" s="714">
        <v>65917.95</v>
      </c>
      <c r="Y7" s="714">
        <v>80531.850000000006</v>
      </c>
      <c r="Z7" s="714">
        <v>87869.25</v>
      </c>
      <c r="AA7" s="714">
        <v>95144.7</v>
      </c>
      <c r="AB7" s="714">
        <v>102483.15000000001</v>
      </c>
      <c r="AC7" s="714">
        <v>109820.55</v>
      </c>
      <c r="AD7" s="714">
        <v>117159</v>
      </c>
      <c r="AE7" s="714">
        <v>124435.5</v>
      </c>
      <c r="AF7" s="714">
        <v>0</v>
      </c>
      <c r="AG7" s="714">
        <v>131834.85</v>
      </c>
      <c r="AT7" s="587"/>
      <c r="AU7" s="587"/>
      <c r="AV7" s="587"/>
      <c r="AW7" s="587"/>
      <c r="AX7" s="587"/>
      <c r="AY7" s="587"/>
      <c r="AZ7" s="587"/>
      <c r="BA7" s="587"/>
      <c r="BB7" s="587"/>
      <c r="BC7" s="587"/>
      <c r="BD7" s="587"/>
      <c r="BE7" s="587"/>
      <c r="BF7" s="587"/>
    </row>
    <row r="8" spans="1:58" ht="27.75" customHeight="1">
      <c r="A8" s="1259"/>
      <c r="B8" s="1016"/>
      <c r="C8" s="1006"/>
      <c r="D8" s="1016">
        <v>2.4300000000000002</v>
      </c>
      <c r="E8" s="1016"/>
      <c r="F8" s="671">
        <f>ROUND(T8*(1-$G$63),2)</f>
        <v>51429</v>
      </c>
      <c r="G8" s="731">
        <f>ROUND(U8*(1-$G$63),2)</f>
        <v>54723.9</v>
      </c>
      <c r="H8" s="671" t="str">
        <f>ROUND(V8*(1-$G$63),0)&amp;"*"</f>
        <v>56590*</v>
      </c>
      <c r="I8" s="730">
        <f t="shared" si="0"/>
        <v>71576.399999999994</v>
      </c>
      <c r="J8" s="730">
        <f t="shared" si="0"/>
        <v>79038.75</v>
      </c>
      <c r="K8" s="730">
        <f t="shared" si="0"/>
        <v>96637.8</v>
      </c>
      <c r="L8" s="730">
        <f t="shared" si="0"/>
        <v>105468.3</v>
      </c>
      <c r="M8" s="730">
        <f t="shared" si="0"/>
        <v>114298.8</v>
      </c>
      <c r="N8" s="730">
        <f t="shared" si="0"/>
        <v>123004.35</v>
      </c>
      <c r="O8" s="730">
        <f t="shared" si="0"/>
        <v>131710.95000000001</v>
      </c>
      <c r="P8" s="730">
        <f t="shared" si="0"/>
        <v>140541.45000000001</v>
      </c>
      <c r="Q8" s="731">
        <f t="shared" si="0"/>
        <v>149247</v>
      </c>
      <c r="R8" s="730">
        <f>ROUND(AG8*(1-$G$63),2)</f>
        <v>158077.5</v>
      </c>
      <c r="S8" s="592"/>
      <c r="T8" s="714">
        <v>51429</v>
      </c>
      <c r="U8" s="714">
        <v>54723.9</v>
      </c>
      <c r="V8" s="714">
        <v>56589.75</v>
      </c>
      <c r="W8" s="714">
        <v>71576.400000000009</v>
      </c>
      <c r="X8" s="714">
        <v>79038.75</v>
      </c>
      <c r="Y8" s="714">
        <v>96637.8</v>
      </c>
      <c r="Z8" s="714">
        <v>105468.3</v>
      </c>
      <c r="AA8" s="714">
        <v>114298.8</v>
      </c>
      <c r="AB8" s="714">
        <v>123004.35</v>
      </c>
      <c r="AC8" s="714">
        <v>131710.95000000001</v>
      </c>
      <c r="AD8" s="714">
        <v>140541.45000000001</v>
      </c>
      <c r="AE8" s="714">
        <v>149247</v>
      </c>
      <c r="AF8" s="714">
        <v>0</v>
      </c>
      <c r="AG8" s="714">
        <v>158077.5</v>
      </c>
      <c r="AT8" s="587"/>
      <c r="AU8" s="587"/>
      <c r="AV8" s="587"/>
      <c r="AW8" s="587"/>
      <c r="AX8" s="587"/>
      <c r="AY8" s="587"/>
      <c r="AZ8" s="587"/>
      <c r="BA8" s="587"/>
      <c r="BB8" s="587"/>
      <c r="BC8" s="587"/>
      <c r="BD8" s="587"/>
      <c r="BE8" s="587"/>
      <c r="BF8" s="587"/>
    </row>
    <row r="9" spans="1:58" ht="15" customHeight="1">
      <c r="A9" s="594"/>
      <c r="B9" s="595"/>
      <c r="C9" s="454"/>
      <c r="D9" s="595"/>
      <c r="E9" s="595"/>
      <c r="F9" s="596"/>
      <c r="G9" s="596"/>
      <c r="H9" s="596"/>
      <c r="I9" s="596"/>
      <c r="J9" s="596"/>
      <c r="K9" s="596"/>
      <c r="L9" s="682"/>
      <c r="M9" s="596"/>
      <c r="N9" s="596"/>
      <c r="O9" s="596"/>
      <c r="P9" s="596"/>
      <c r="Q9" s="596"/>
      <c r="R9" s="596"/>
      <c r="S9" s="592"/>
    </row>
    <row r="10" spans="1:58" s="597" customFormat="1" ht="35.1" customHeight="1">
      <c r="A10" s="1494" t="s">
        <v>458</v>
      </c>
      <c r="B10" s="1502" t="s">
        <v>136</v>
      </c>
      <c r="C10" s="1502" t="s">
        <v>84</v>
      </c>
      <c r="D10" s="1511" t="s">
        <v>137</v>
      </c>
      <c r="E10" s="1512"/>
      <c r="F10" s="1496" t="s">
        <v>138</v>
      </c>
      <c r="G10" s="1497"/>
      <c r="H10" s="1488" t="s">
        <v>537</v>
      </c>
      <c r="I10" s="1489"/>
      <c r="J10" s="1418" t="s">
        <v>538</v>
      </c>
      <c r="K10" s="1419"/>
      <c r="L10" s="352"/>
      <c r="M10" s="1516" t="s">
        <v>543</v>
      </c>
      <c r="N10" s="1517"/>
      <c r="O10" s="1517"/>
      <c r="P10" s="1517"/>
      <c r="Q10" s="1517"/>
      <c r="R10" s="1518"/>
      <c r="S10" s="598"/>
      <c r="T10" s="599"/>
      <c r="U10" s="599"/>
      <c r="V10" s="599"/>
      <c r="W10" s="599"/>
      <c r="X10" s="599"/>
      <c r="Y10" s="599"/>
      <c r="Z10" s="599"/>
      <c r="AA10" s="599"/>
      <c r="AB10" s="599"/>
      <c r="AC10" s="599"/>
      <c r="AD10" s="599"/>
      <c r="AE10" s="599"/>
      <c r="AF10" s="599"/>
      <c r="AG10" s="599"/>
      <c r="AH10" s="600"/>
      <c r="AI10" s="600"/>
      <c r="AJ10" s="600"/>
      <c r="AK10" s="600"/>
      <c r="AL10" s="600"/>
      <c r="AM10" s="600"/>
      <c r="AN10" s="600"/>
      <c r="AO10" s="600"/>
      <c r="AP10" s="600"/>
      <c r="AQ10" s="600"/>
      <c r="AR10" s="600"/>
      <c r="AS10" s="600"/>
    </row>
    <row r="11" spans="1:58" s="597" customFormat="1" ht="24.9" customHeight="1">
      <c r="A11" s="1494"/>
      <c r="B11" s="1502"/>
      <c r="C11" s="1502"/>
      <c r="D11" s="1513"/>
      <c r="E11" s="1514"/>
      <c r="F11" s="1500">
        <v>1</v>
      </c>
      <c r="G11" s="1515">
        <v>1.25</v>
      </c>
      <c r="H11" s="1490"/>
      <c r="I11" s="1491"/>
      <c r="J11" s="1420"/>
      <c r="K11" s="1421"/>
      <c r="L11" s="352"/>
      <c r="M11" s="1500" t="s">
        <v>539</v>
      </c>
      <c r="N11" s="1496" t="s">
        <v>462</v>
      </c>
      <c r="O11" s="1497"/>
      <c r="P11" s="1497"/>
      <c r="Q11" s="1498"/>
      <c r="R11" s="1519" t="s">
        <v>212</v>
      </c>
      <c r="S11" s="592"/>
      <c r="T11" s="601"/>
      <c r="U11" s="602"/>
      <c r="V11" s="602"/>
      <c r="W11" s="599"/>
      <c r="X11" s="599"/>
      <c r="Y11" s="599"/>
      <c r="Z11" s="599"/>
      <c r="AA11" s="599"/>
      <c r="AB11" s="599"/>
      <c r="AC11" s="599"/>
      <c r="AD11" s="599"/>
      <c r="AE11" s="599"/>
      <c r="AF11" s="599"/>
      <c r="AG11" s="599"/>
      <c r="AH11" s="600"/>
      <c r="AI11" s="600"/>
      <c r="AJ11" s="600"/>
      <c r="AK11" s="600"/>
      <c r="AL11" s="600"/>
      <c r="AM11" s="600"/>
      <c r="AN11" s="600"/>
      <c r="AO11" s="600"/>
      <c r="AP11" s="600"/>
      <c r="AQ11" s="600"/>
      <c r="AR11" s="600"/>
      <c r="AS11" s="600"/>
    </row>
    <row r="12" spans="1:58" s="597" customFormat="1" ht="27.75" customHeight="1">
      <c r="A12" s="1235"/>
      <c r="B12" s="1006" t="s">
        <v>461</v>
      </c>
      <c r="C12" s="1006" t="s">
        <v>460</v>
      </c>
      <c r="D12" s="1409">
        <v>1.03</v>
      </c>
      <c r="E12" s="1410"/>
      <c r="F12" s="668" t="str">
        <f>ROUND(T12*(1-$G$63),0)&amp;"*"</f>
        <v>14445*</v>
      </c>
      <c r="G12" s="677">
        <f>ROUND(U12*(1-$G$63),0)</f>
        <v>17343</v>
      </c>
      <c r="H12" s="1490"/>
      <c r="I12" s="1491"/>
      <c r="J12" s="1420"/>
      <c r="K12" s="1421"/>
      <c r="L12" s="352"/>
      <c r="M12" s="954" t="s">
        <v>540</v>
      </c>
      <c r="N12" s="956" t="s">
        <v>463</v>
      </c>
      <c r="O12" s="957"/>
      <c r="P12" s="957"/>
      <c r="Q12" s="958"/>
      <c r="R12" s="1415">
        <f>ROUND(V12*(1-$G$63),2)</f>
        <v>39424</v>
      </c>
      <c r="S12" s="592"/>
      <c r="T12" s="714">
        <v>14444.85</v>
      </c>
      <c r="U12" s="714">
        <v>17342.850000000002</v>
      </c>
      <c r="V12" s="604">
        <v>39424</v>
      </c>
      <c r="W12" s="603"/>
      <c r="X12" s="713"/>
      <c r="Y12" s="713"/>
      <c r="Z12" s="713"/>
      <c r="AA12" s="599"/>
      <c r="AB12" s="599"/>
      <c r="AC12" s="599"/>
      <c r="AD12" s="599"/>
      <c r="AE12" s="599"/>
      <c r="AF12" s="599"/>
      <c r="AG12" s="599"/>
      <c r="AH12" s="600"/>
      <c r="AI12" s="600"/>
      <c r="AJ12" s="600"/>
      <c r="AK12" s="600"/>
      <c r="AL12" s="600"/>
      <c r="AM12" s="600"/>
      <c r="AN12" s="600"/>
      <c r="AO12" s="600"/>
      <c r="AP12" s="600"/>
      <c r="AQ12" s="600"/>
      <c r="AR12" s="600"/>
      <c r="AS12" s="600"/>
    </row>
    <row r="13" spans="1:58" s="597" customFormat="1" ht="27.75" customHeight="1">
      <c r="A13" s="1235"/>
      <c r="B13" s="1006"/>
      <c r="C13" s="1006"/>
      <c r="D13" s="1411">
        <v>1.53</v>
      </c>
      <c r="E13" s="1412"/>
      <c r="F13" s="672" t="str">
        <f>ROUND(T13*(1-$G$63),0)&amp;"*"</f>
        <v>16141*</v>
      </c>
      <c r="G13" s="678">
        <f>ROUND(U13*(1-$G$63),0)</f>
        <v>19394</v>
      </c>
      <c r="H13" s="1490"/>
      <c r="I13" s="1491"/>
      <c r="J13" s="1420"/>
      <c r="K13" s="1421"/>
      <c r="L13" s="352"/>
      <c r="M13" s="1428"/>
      <c r="N13" s="1238"/>
      <c r="O13" s="1232"/>
      <c r="P13" s="1232"/>
      <c r="Q13" s="1226"/>
      <c r="R13" s="1416"/>
      <c r="S13" s="592"/>
      <c r="T13" s="715">
        <v>16140.6</v>
      </c>
      <c r="U13" s="715">
        <v>19393.5</v>
      </c>
      <c r="V13" s="197"/>
      <c r="W13" s="599"/>
      <c r="X13" s="713"/>
      <c r="Y13" s="713"/>
      <c r="Z13" s="713"/>
      <c r="AA13" s="713"/>
      <c r="AB13" s="713"/>
      <c r="AC13" s="713"/>
      <c r="AD13" s="713"/>
      <c r="AE13" s="713"/>
      <c r="AF13" s="713"/>
      <c r="AG13" s="713"/>
      <c r="AH13" s="713"/>
      <c r="AI13" s="713"/>
      <c r="AJ13" s="713"/>
      <c r="AK13" s="713"/>
      <c r="AL13" s="713"/>
      <c r="AM13" s="713"/>
      <c r="AN13" s="713"/>
      <c r="AO13" s="713"/>
      <c r="AP13" s="713"/>
      <c r="AQ13" s="600"/>
      <c r="AR13" s="600"/>
      <c r="AS13" s="600"/>
    </row>
    <row r="14" spans="1:58" s="597" customFormat="1" ht="27.75" customHeight="1">
      <c r="A14" s="1235"/>
      <c r="B14" s="1006"/>
      <c r="C14" s="1006"/>
      <c r="D14" s="1413">
        <v>1.73</v>
      </c>
      <c r="E14" s="1414"/>
      <c r="F14" s="672" t="str">
        <f>ROUND(T14*(1-$G$63),2)&amp;"*"</f>
        <v>18480*</v>
      </c>
      <c r="G14" s="678">
        <f>ROUND(U14*(1-$G$63),0)</f>
        <v>22136</v>
      </c>
      <c r="H14" s="1490"/>
      <c r="I14" s="1491"/>
      <c r="J14" s="1420"/>
      <c r="K14" s="1421"/>
      <c r="L14" s="352"/>
      <c r="M14" s="955"/>
      <c r="N14" s="959"/>
      <c r="O14" s="960"/>
      <c r="P14" s="960"/>
      <c r="Q14" s="961"/>
      <c r="R14" s="1417"/>
      <c r="S14" s="592"/>
      <c r="T14" s="714">
        <v>18480</v>
      </c>
      <c r="U14" s="714">
        <v>22136.100000000002</v>
      </c>
      <c r="V14" s="197"/>
      <c r="W14" s="603"/>
      <c r="X14" s="713"/>
      <c r="Y14" s="713"/>
      <c r="Z14" s="713"/>
      <c r="AA14" s="713"/>
      <c r="AB14" s="713"/>
      <c r="AC14" s="713"/>
      <c r="AD14" s="713"/>
      <c r="AE14" s="713"/>
      <c r="AF14" s="713"/>
      <c r="AG14" s="713"/>
      <c r="AH14" s="713"/>
      <c r="AI14" s="713"/>
      <c r="AJ14" s="713"/>
      <c r="AK14" s="713"/>
      <c r="AL14" s="713"/>
      <c r="AM14" s="713"/>
      <c r="AN14" s="713"/>
      <c r="AO14" s="600"/>
      <c r="AP14" s="600"/>
      <c r="AQ14" s="600"/>
      <c r="AR14" s="600"/>
      <c r="AS14" s="600"/>
    </row>
    <row r="15" spans="1:58" s="597" customFormat="1" ht="27.75" customHeight="1">
      <c r="A15" s="1235"/>
      <c r="B15" s="1006"/>
      <c r="C15" s="1006"/>
      <c r="D15" s="1413">
        <v>2.0299999999999998</v>
      </c>
      <c r="E15" s="1414"/>
      <c r="F15" s="672" t="str">
        <f>ROUND(T15*(1-$G$63),0)&amp;"**"</f>
        <v>21548**</v>
      </c>
      <c r="G15" s="678">
        <f>ROUND(U15*(1-$G$63),0)</f>
        <v>25857</v>
      </c>
      <c r="H15" s="1490"/>
      <c r="I15" s="1491"/>
      <c r="J15" s="1420"/>
      <c r="K15" s="1421"/>
      <c r="L15" s="352"/>
      <c r="M15" s="954" t="s">
        <v>541</v>
      </c>
      <c r="N15" s="956" t="s">
        <v>466</v>
      </c>
      <c r="O15" s="957"/>
      <c r="P15" s="957"/>
      <c r="Q15" s="958"/>
      <c r="R15" s="1415">
        <f>ROUND(V15*(1-$G$63),2)</f>
        <v>52280</v>
      </c>
      <c r="S15" s="592"/>
      <c r="T15" s="714">
        <v>21548.100000000002</v>
      </c>
      <c r="U15" s="714">
        <v>25857.300000000003</v>
      </c>
      <c r="V15" s="604">
        <v>52280</v>
      </c>
      <c r="W15" s="603"/>
      <c r="X15" s="713"/>
      <c r="Y15" s="713"/>
      <c r="Z15" s="713"/>
      <c r="AA15" s="713"/>
      <c r="AB15" s="713"/>
      <c r="AC15" s="713"/>
      <c r="AD15" s="713"/>
      <c r="AE15" s="713"/>
      <c r="AF15" s="713"/>
      <c r="AG15" s="713"/>
      <c r="AH15" s="713"/>
      <c r="AI15" s="713"/>
      <c r="AJ15" s="713"/>
      <c r="AK15" s="713"/>
      <c r="AL15" s="713"/>
      <c r="AM15" s="713"/>
      <c r="AN15" s="713"/>
      <c r="AO15" s="600"/>
      <c r="AP15" s="600"/>
      <c r="AQ15" s="600"/>
      <c r="AR15" s="600"/>
      <c r="AS15" s="600"/>
    </row>
    <row r="16" spans="1:58" s="597" customFormat="1" ht="27.75" customHeight="1">
      <c r="A16" s="1235"/>
      <c r="B16" s="1006"/>
      <c r="C16" s="1006"/>
      <c r="D16" s="1387">
        <v>2.4300000000000002</v>
      </c>
      <c r="E16" s="1388"/>
      <c r="F16" s="673" t="str">
        <f>ROUND(T16*(1-$G$63),0)&amp;"*"</f>
        <v>24617*</v>
      </c>
      <c r="G16" s="679">
        <f>ROUND(U16*(1-$G$63),0)</f>
        <v>29514</v>
      </c>
      <c r="H16" s="1492"/>
      <c r="I16" s="1493"/>
      <c r="J16" s="1422"/>
      <c r="K16" s="1423"/>
      <c r="L16" s="352"/>
      <c r="M16" s="1428"/>
      <c r="N16" s="1238"/>
      <c r="O16" s="1232"/>
      <c r="P16" s="1232"/>
      <c r="Q16" s="1226"/>
      <c r="R16" s="1416"/>
      <c r="S16" s="592"/>
      <c r="T16" s="714">
        <v>24617.25</v>
      </c>
      <c r="U16" s="714">
        <v>29514.45</v>
      </c>
      <c r="V16" s="347"/>
      <c r="W16" s="603"/>
      <c r="X16" s="713"/>
      <c r="Y16" s="713"/>
      <c r="Z16" s="713"/>
      <c r="AA16" s="713"/>
      <c r="AB16" s="713"/>
      <c r="AC16" s="713"/>
      <c r="AD16" s="713"/>
      <c r="AE16" s="713"/>
      <c r="AF16" s="713"/>
      <c r="AG16" s="713"/>
      <c r="AH16" s="713"/>
      <c r="AI16" s="713"/>
      <c r="AJ16" s="713"/>
      <c r="AK16" s="713"/>
      <c r="AL16" s="713"/>
      <c r="AM16" s="713"/>
      <c r="AN16" s="713"/>
      <c r="AO16" s="600"/>
      <c r="AP16" s="600"/>
      <c r="AQ16" s="600"/>
      <c r="AR16" s="600"/>
      <c r="AS16" s="600"/>
    </row>
    <row r="17" spans="1:45" s="597" customFormat="1" ht="27.75" customHeight="1">
      <c r="A17" s="353"/>
      <c r="B17" s="353"/>
      <c r="C17" s="353"/>
      <c r="D17" s="605"/>
      <c r="E17" s="605"/>
      <c r="F17" s="605"/>
      <c r="G17" s="605"/>
      <c r="H17" s="680"/>
      <c r="I17" s="680"/>
      <c r="J17" s="681"/>
      <c r="K17" s="681"/>
      <c r="M17" s="955"/>
      <c r="N17" s="959"/>
      <c r="O17" s="960"/>
      <c r="P17" s="960"/>
      <c r="Q17" s="961"/>
      <c r="R17" s="1417"/>
      <c r="S17" s="592"/>
      <c r="T17" s="197"/>
      <c r="V17" s="609"/>
      <c r="W17" s="599"/>
      <c r="X17" s="599"/>
      <c r="Y17" s="599"/>
      <c r="Z17" s="599"/>
      <c r="AA17" s="599"/>
      <c r="AB17" s="599"/>
      <c r="AC17" s="599"/>
      <c r="AD17" s="599"/>
      <c r="AE17" s="599"/>
      <c r="AF17" s="599"/>
      <c r="AG17" s="599"/>
      <c r="AH17" s="600"/>
      <c r="AI17" s="600"/>
      <c r="AJ17" s="600"/>
      <c r="AK17" s="600"/>
      <c r="AL17" s="600"/>
      <c r="AM17" s="600"/>
      <c r="AN17" s="600"/>
      <c r="AO17" s="600"/>
      <c r="AP17" s="600"/>
      <c r="AQ17" s="600"/>
      <c r="AR17" s="600"/>
      <c r="AS17" s="600"/>
    </row>
    <row r="18" spans="1:45" s="597" customFormat="1" ht="30" customHeight="1">
      <c r="A18" s="1520" t="s">
        <v>458</v>
      </c>
      <c r="B18" s="1521" t="s">
        <v>136</v>
      </c>
      <c r="C18" s="1489"/>
      <c r="D18" s="1516" t="s">
        <v>464</v>
      </c>
      <c r="E18" s="1518"/>
      <c r="F18" s="1496" t="s">
        <v>94</v>
      </c>
      <c r="G18" s="1497"/>
      <c r="H18" s="1501" t="s">
        <v>465</v>
      </c>
      <c r="I18" s="1500" t="s">
        <v>212</v>
      </c>
      <c r="M18" s="1100" t="s">
        <v>542</v>
      </c>
      <c r="N18" s="1101"/>
      <c r="O18" s="610" t="s">
        <v>473</v>
      </c>
      <c r="P18" s="611"/>
      <c r="Q18" s="612"/>
      <c r="R18" s="613">
        <f>ROUND(V18*(1-$G$63),2)</f>
        <v>5995</v>
      </c>
      <c r="S18" s="592"/>
      <c r="T18" s="197"/>
      <c r="V18" s="615">
        <v>5995</v>
      </c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600"/>
      <c r="AI18" s="600"/>
      <c r="AJ18" s="600"/>
      <c r="AK18" s="600"/>
      <c r="AL18" s="600"/>
      <c r="AM18" s="600"/>
      <c r="AN18" s="600"/>
      <c r="AO18" s="600"/>
      <c r="AP18" s="600"/>
      <c r="AQ18" s="600"/>
      <c r="AR18" s="600"/>
      <c r="AS18" s="600"/>
    </row>
    <row r="19" spans="1:45" s="597" customFormat="1" ht="30" customHeight="1">
      <c r="A19" s="976"/>
      <c r="B19" s="1303" t="s">
        <v>467</v>
      </c>
      <c r="C19" s="1304"/>
      <c r="D19" s="1401" t="s">
        <v>468</v>
      </c>
      <c r="E19" s="1402"/>
      <c r="F19" s="1302" t="s">
        <v>469</v>
      </c>
      <c r="G19" s="1403"/>
      <c r="H19" s="606">
        <v>33</v>
      </c>
      <c r="I19" s="607">
        <f t="shared" ref="I19:I26" si="1">ROUND(T19*(1-$G$63),2)</f>
        <v>18573.45</v>
      </c>
      <c r="M19" s="1102"/>
      <c r="N19" s="1103"/>
      <c r="O19" s="610" t="s">
        <v>152</v>
      </c>
      <c r="P19" s="611"/>
      <c r="Q19" s="612"/>
      <c r="R19" s="613">
        <f>ROUND(V19*(1-$G$63),2)</f>
        <v>1210</v>
      </c>
      <c r="S19" s="592"/>
      <c r="T19" s="714">
        <v>18573.45</v>
      </c>
      <c r="U19" s="716"/>
      <c r="V19" s="615">
        <v>1210</v>
      </c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600"/>
      <c r="AI19" s="600"/>
      <c r="AJ19" s="600"/>
      <c r="AK19" s="600"/>
      <c r="AL19" s="600"/>
      <c r="AM19" s="600"/>
      <c r="AN19" s="600"/>
      <c r="AO19" s="600"/>
      <c r="AP19" s="600"/>
      <c r="AQ19" s="600"/>
      <c r="AR19" s="600"/>
      <c r="AS19" s="600"/>
    </row>
    <row r="20" spans="1:45" ht="30" customHeight="1">
      <c r="A20" s="976"/>
      <c r="B20" s="1305"/>
      <c r="C20" s="1306"/>
      <c r="D20" s="1387" t="s">
        <v>470</v>
      </c>
      <c r="E20" s="1388"/>
      <c r="F20" s="1404"/>
      <c r="G20" s="1405"/>
      <c r="H20" s="608">
        <v>38</v>
      </c>
      <c r="I20" s="688">
        <f t="shared" si="1"/>
        <v>20795.25</v>
      </c>
      <c r="M20" s="1102"/>
      <c r="N20" s="1103"/>
      <c r="O20" s="610" t="s">
        <v>213</v>
      </c>
      <c r="P20" s="611"/>
      <c r="Q20" s="612"/>
      <c r="R20" s="613">
        <f>ROUND(V20*(1-$G$63),2)</f>
        <v>6610</v>
      </c>
      <c r="S20" s="592"/>
      <c r="T20" s="714">
        <v>20795.25</v>
      </c>
      <c r="U20" s="716"/>
      <c r="V20" s="615">
        <v>6610</v>
      </c>
    </row>
    <row r="21" spans="1:45" ht="27.75" customHeight="1">
      <c r="A21" s="952"/>
      <c r="B21" s="1303" t="s">
        <v>471</v>
      </c>
      <c r="C21" s="1304"/>
      <c r="D21" s="1401" t="s">
        <v>472</v>
      </c>
      <c r="E21" s="1402"/>
      <c r="F21" s="1404"/>
      <c r="G21" s="1405"/>
      <c r="H21" s="606">
        <v>38.5</v>
      </c>
      <c r="I21" s="607">
        <f t="shared" si="1"/>
        <v>21386.400000000001</v>
      </c>
      <c r="M21" s="1104"/>
      <c r="N21" s="1105"/>
      <c r="O21" s="610" t="s">
        <v>153</v>
      </c>
      <c r="P21" s="611"/>
      <c r="Q21" s="612"/>
      <c r="R21" s="613">
        <f>ROUND(V21*(1-$G$63),2)</f>
        <v>3775</v>
      </c>
      <c r="S21" s="614"/>
      <c r="T21" s="714">
        <v>21386.400000000001</v>
      </c>
      <c r="U21" s="716"/>
      <c r="V21" s="615">
        <v>3775</v>
      </c>
    </row>
    <row r="22" spans="1:45" ht="27.75" customHeight="1">
      <c r="A22" s="953"/>
      <c r="B22" s="1305"/>
      <c r="C22" s="1306"/>
      <c r="D22" s="1387" t="s">
        <v>474</v>
      </c>
      <c r="E22" s="1388"/>
      <c r="F22" s="1404"/>
      <c r="G22" s="1405"/>
      <c r="H22" s="616">
        <v>66</v>
      </c>
      <c r="I22" s="712">
        <f t="shared" si="1"/>
        <v>26054.7</v>
      </c>
      <c r="K22" s="683" t="s">
        <v>136</v>
      </c>
      <c r="L22" s="684"/>
      <c r="M22" s="685"/>
      <c r="N22" s="683" t="s">
        <v>193</v>
      </c>
      <c r="O22" s="685"/>
      <c r="P22" s="683" t="s">
        <v>479</v>
      </c>
      <c r="Q22" s="685"/>
      <c r="R22" s="674" t="s">
        <v>212</v>
      </c>
      <c r="S22" s="614"/>
      <c r="T22" s="714">
        <v>26054.7</v>
      </c>
      <c r="U22" s="716"/>
    </row>
    <row r="23" spans="1:45" ht="27.75" customHeight="1">
      <c r="A23" s="976"/>
      <c r="B23" s="1303" t="s">
        <v>475</v>
      </c>
      <c r="C23" s="1304"/>
      <c r="D23" s="1401" t="s">
        <v>476</v>
      </c>
      <c r="E23" s="1402"/>
      <c r="F23" s="1404"/>
      <c r="G23" s="1405"/>
      <c r="H23" s="606">
        <v>70</v>
      </c>
      <c r="I23" s="607">
        <f t="shared" si="1"/>
        <v>36958.949999999997</v>
      </c>
      <c r="K23" s="1437"/>
      <c r="L23" s="1429" t="s">
        <v>481</v>
      </c>
      <c r="M23" s="1429"/>
      <c r="N23" s="1430" t="s">
        <v>482</v>
      </c>
      <c r="O23" s="1430"/>
      <c r="P23" s="1429" t="s">
        <v>483</v>
      </c>
      <c r="Q23" s="1429"/>
      <c r="R23" s="1429">
        <f>ROUND(V23*(1-$G$62),2)</f>
        <v>315</v>
      </c>
      <c r="S23" s="455"/>
      <c r="T23" s="714">
        <v>36958.950000000004</v>
      </c>
      <c r="U23" s="716"/>
      <c r="V23" s="617">
        <v>315</v>
      </c>
    </row>
    <row r="24" spans="1:45" ht="27.75" customHeight="1">
      <c r="A24" s="976"/>
      <c r="B24" s="1305"/>
      <c r="C24" s="1306"/>
      <c r="D24" s="1387" t="s">
        <v>477</v>
      </c>
      <c r="E24" s="1388"/>
      <c r="F24" s="1404"/>
      <c r="G24" s="1405"/>
      <c r="H24" s="608">
        <v>81</v>
      </c>
      <c r="I24" s="712">
        <f t="shared" si="1"/>
        <v>43582.35</v>
      </c>
      <c r="K24" s="1437"/>
      <c r="L24" s="1429"/>
      <c r="M24" s="1429"/>
      <c r="N24" s="1430"/>
      <c r="O24" s="1430"/>
      <c r="P24" s="1429"/>
      <c r="Q24" s="1429"/>
      <c r="R24" s="1429"/>
      <c r="S24" s="455"/>
      <c r="T24" s="714">
        <v>43582.35</v>
      </c>
      <c r="U24" s="716"/>
    </row>
    <row r="25" spans="1:45" ht="27.75" customHeight="1">
      <c r="A25" s="952"/>
      <c r="B25" s="1303" t="s">
        <v>478</v>
      </c>
      <c r="C25" s="1304"/>
      <c r="D25" s="1401" t="s">
        <v>477</v>
      </c>
      <c r="E25" s="1402"/>
      <c r="F25" s="1404"/>
      <c r="G25" s="1405"/>
      <c r="H25" s="606">
        <v>85</v>
      </c>
      <c r="I25" s="607">
        <f t="shared" si="1"/>
        <v>46628.4</v>
      </c>
      <c r="K25" s="1437"/>
      <c r="L25" s="1384" t="s">
        <v>485</v>
      </c>
      <c r="M25" s="1384"/>
      <c r="N25" s="1418" t="s">
        <v>544</v>
      </c>
      <c r="O25" s="1432"/>
      <c r="P25" s="1432"/>
      <c r="Q25" s="1419"/>
      <c r="R25" s="1434" t="str">
        <f>ROUND(V26*(1-$G$63),2)&amp;"***"</f>
        <v>1003***</v>
      </c>
      <c r="S25" s="455"/>
      <c r="T25" s="714">
        <v>46628.4</v>
      </c>
      <c r="U25" s="716"/>
    </row>
    <row r="26" spans="1:45" ht="27.75" customHeight="1">
      <c r="A26" s="953"/>
      <c r="B26" s="1305"/>
      <c r="C26" s="1306"/>
      <c r="D26" s="1387" t="s">
        <v>480</v>
      </c>
      <c r="E26" s="1388"/>
      <c r="F26" s="1406"/>
      <c r="G26" s="1407"/>
      <c r="H26" s="616">
        <v>128</v>
      </c>
      <c r="I26" s="712">
        <f t="shared" si="1"/>
        <v>58184.7</v>
      </c>
      <c r="K26" s="1437"/>
      <c r="L26" s="1384"/>
      <c r="M26" s="1384"/>
      <c r="N26" s="1420"/>
      <c r="O26" s="1314"/>
      <c r="P26" s="1314"/>
      <c r="Q26" s="1421"/>
      <c r="R26" s="1435"/>
      <c r="S26" s="455"/>
      <c r="T26" s="714">
        <v>58184.700000000004</v>
      </c>
      <c r="U26" s="716"/>
      <c r="V26" s="593">
        <v>1003</v>
      </c>
    </row>
    <row r="27" spans="1:45" ht="15" customHeight="1">
      <c r="I27" s="618"/>
      <c r="J27" s="618"/>
      <c r="K27" s="1437"/>
      <c r="L27" s="1384"/>
      <c r="M27" s="1384"/>
      <c r="N27" s="1422"/>
      <c r="O27" s="1433"/>
      <c r="P27" s="1433"/>
      <c r="Q27" s="1423"/>
      <c r="R27" s="1436"/>
      <c r="S27" s="455"/>
      <c r="U27" s="609"/>
    </row>
    <row r="28" spans="1:45" ht="27.75" customHeight="1">
      <c r="A28" s="1366" t="s">
        <v>484</v>
      </c>
      <c r="B28" s="1367"/>
      <c r="C28" s="1367"/>
      <c r="D28" s="1368"/>
      <c r="E28" s="1260" t="s">
        <v>137</v>
      </c>
      <c r="F28" s="1373" t="s">
        <v>138</v>
      </c>
      <c r="G28" s="1374"/>
      <c r="H28" s="1374"/>
      <c r="I28" s="1378"/>
      <c r="K28" s="1438"/>
      <c r="L28" s="1384" t="s">
        <v>545</v>
      </c>
      <c r="M28" s="1384"/>
      <c r="N28" s="956" t="s">
        <v>490</v>
      </c>
      <c r="O28" s="958"/>
      <c r="P28" s="1262" t="s">
        <v>219</v>
      </c>
      <c r="Q28" s="1262"/>
      <c r="R28" s="1262">
        <f>ROUND(V29*(1-$G$62),2)</f>
        <v>1030</v>
      </c>
      <c r="S28" s="455"/>
      <c r="U28" s="609"/>
    </row>
    <row r="29" spans="1:45" ht="27.75" customHeight="1">
      <c r="A29" s="1369"/>
      <c r="B29" s="1370"/>
      <c r="C29" s="1370"/>
      <c r="D29" s="1371"/>
      <c r="E29" s="1372"/>
      <c r="F29" s="1344">
        <v>1</v>
      </c>
      <c r="G29" s="1345"/>
      <c r="H29" s="1345"/>
      <c r="I29" s="1379"/>
      <c r="K29" s="1438"/>
      <c r="L29" s="1384"/>
      <c r="M29" s="1384"/>
      <c r="N29" s="1238"/>
      <c r="O29" s="1226"/>
      <c r="P29" s="1262"/>
      <c r="Q29" s="1262"/>
      <c r="R29" s="1262"/>
      <c r="S29" s="619"/>
      <c r="T29" s="717">
        <v>9904.65</v>
      </c>
      <c r="U29" s="717">
        <v>10794</v>
      </c>
      <c r="V29" s="604">
        <v>1030</v>
      </c>
      <c r="W29" s="609"/>
      <c r="X29" s="609"/>
    </row>
    <row r="30" spans="1:45" ht="27.75" customHeight="1">
      <c r="A30" s="620" t="s">
        <v>458</v>
      </c>
      <c r="B30" s="621" t="s">
        <v>136</v>
      </c>
      <c r="C30" s="1380" t="s">
        <v>84</v>
      </c>
      <c r="D30" s="1381"/>
      <c r="E30" s="1261"/>
      <c r="F30" s="1382" t="s">
        <v>486</v>
      </c>
      <c r="G30" s="1383"/>
      <c r="H30" s="1382" t="s">
        <v>487</v>
      </c>
      <c r="I30" s="1383"/>
      <c r="K30" s="1438"/>
      <c r="L30" s="1384"/>
      <c r="M30" s="1384"/>
      <c r="N30" s="959"/>
      <c r="O30" s="961"/>
      <c r="P30" s="1262"/>
      <c r="Q30" s="1262"/>
      <c r="R30" s="1262"/>
      <c r="S30" s="622"/>
      <c r="T30" s="717">
        <v>11251.800000000001</v>
      </c>
      <c r="U30" s="717">
        <v>12395.25</v>
      </c>
      <c r="W30" s="609"/>
      <c r="X30" s="609"/>
    </row>
    <row r="31" spans="1:45" ht="30" customHeight="1">
      <c r="A31" s="1235"/>
      <c r="B31" s="1034" t="s">
        <v>488</v>
      </c>
      <c r="C31" s="1006" t="s">
        <v>489</v>
      </c>
      <c r="D31" s="1006"/>
      <c r="E31" s="341">
        <v>1.03</v>
      </c>
      <c r="F31" s="1395">
        <f>ROUND(T29*(1-$G$63),2)</f>
        <v>9904.65</v>
      </c>
      <c r="G31" s="1396"/>
      <c r="H31" s="1397" t="str">
        <f>ROUND(U29*(1-$G$63),2)&amp;"*"</f>
        <v>10794*</v>
      </c>
      <c r="I31" s="1398"/>
      <c r="K31" s="1431"/>
      <c r="L31" s="1384" t="s">
        <v>546</v>
      </c>
      <c r="M31" s="1384"/>
      <c r="N31" s="956" t="s">
        <v>548</v>
      </c>
      <c r="O31" s="958"/>
      <c r="P31" s="1016" t="s">
        <v>547</v>
      </c>
      <c r="Q31" s="1262"/>
      <c r="R31" s="1262">
        <f>ROUND(V32*(1-$G$62),2)</f>
        <v>809</v>
      </c>
      <c r="T31" s="717">
        <v>12055.050000000001</v>
      </c>
      <c r="U31" s="717">
        <v>13589.1</v>
      </c>
      <c r="W31" s="609"/>
      <c r="X31" s="609"/>
    </row>
    <row r="32" spans="1:45" s="623" customFormat="1" ht="30" customHeight="1">
      <c r="A32" s="1235"/>
      <c r="B32" s="1034"/>
      <c r="C32" s="1006"/>
      <c r="D32" s="1006"/>
      <c r="E32" s="343">
        <v>1.53</v>
      </c>
      <c r="F32" s="1389">
        <f>ROUND(T30*(1-$G$63),2)</f>
        <v>11251.8</v>
      </c>
      <c r="G32" s="1390"/>
      <c r="H32" s="1391" t="str">
        <f>ROUND(U30*(1-$G$63),0)&amp;"****"</f>
        <v>12395****</v>
      </c>
      <c r="I32" s="1392"/>
      <c r="K32" s="1431"/>
      <c r="L32" s="1384"/>
      <c r="M32" s="1384"/>
      <c r="N32" s="1238"/>
      <c r="O32" s="1226"/>
      <c r="P32" s="1262"/>
      <c r="Q32" s="1262"/>
      <c r="R32" s="1262"/>
      <c r="S32" s="351"/>
      <c r="T32" s="717">
        <v>12551.7</v>
      </c>
      <c r="U32" s="717">
        <v>14687.400000000001</v>
      </c>
      <c r="V32" s="604">
        <v>809</v>
      </c>
      <c r="W32" s="609"/>
      <c r="X32" s="609"/>
      <c r="Y32" s="347"/>
      <c r="Z32" s="347"/>
      <c r="AA32" s="347"/>
      <c r="AB32" s="347"/>
      <c r="AC32" s="347"/>
      <c r="AD32" s="347"/>
      <c r="AE32" s="347"/>
      <c r="AF32" s="347"/>
      <c r="AG32" s="347"/>
      <c r="AH32" s="624"/>
      <c r="AI32" s="624"/>
      <c r="AJ32" s="624"/>
      <c r="AK32" s="624"/>
      <c r="AL32" s="624"/>
      <c r="AM32" s="624"/>
      <c r="AN32" s="624"/>
      <c r="AO32" s="624"/>
      <c r="AP32" s="624"/>
      <c r="AQ32" s="624"/>
      <c r="AR32" s="624"/>
      <c r="AS32" s="624"/>
    </row>
    <row r="33" spans="1:45" ht="30" customHeight="1">
      <c r="A33" s="1235"/>
      <c r="B33" s="1034"/>
      <c r="C33" s="1006"/>
      <c r="D33" s="1006"/>
      <c r="E33" s="338">
        <v>1.73</v>
      </c>
      <c r="F33" s="1393">
        <f>ROUND(T31*(1-$G$63),2)</f>
        <v>12055.05</v>
      </c>
      <c r="G33" s="1394"/>
      <c r="H33" s="1391" t="str">
        <f>ROUND(U31*(1-$G$63),0)&amp;"****"</f>
        <v>13589****</v>
      </c>
      <c r="I33" s="1392"/>
      <c r="K33" s="1431"/>
      <c r="L33" s="1384"/>
      <c r="M33" s="1384"/>
      <c r="N33" s="959"/>
      <c r="O33" s="961"/>
      <c r="P33" s="1262"/>
      <c r="Q33" s="1262"/>
      <c r="R33" s="1262"/>
      <c r="S33" s="625"/>
    </row>
    <row r="34" spans="1:45" ht="30" customHeight="1">
      <c r="A34" s="1235"/>
      <c r="B34" s="1034"/>
      <c r="C34" s="1006"/>
      <c r="D34" s="1006"/>
      <c r="E34" s="21">
        <v>2.0299999999999998</v>
      </c>
      <c r="F34" s="1399">
        <f>ROUND(T32*(1-$G$63),2)</f>
        <v>12551.7</v>
      </c>
      <c r="G34" s="1400"/>
      <c r="H34" s="1385" t="str">
        <f>ROUND(U32*(1-$G$63),0)&amp;"****"</f>
        <v>14687****</v>
      </c>
      <c r="I34" s="1386"/>
      <c r="J34" s="626"/>
      <c r="K34" s="627"/>
      <c r="L34" s="628"/>
      <c r="M34" s="628"/>
      <c r="N34" s="629"/>
      <c r="O34" s="629"/>
      <c r="P34" s="630"/>
      <c r="Q34" s="630"/>
      <c r="R34" s="630"/>
      <c r="S34" s="631"/>
      <c r="AA34" s="632"/>
      <c r="AB34" s="632"/>
      <c r="AC34" s="632"/>
      <c r="AD34" s="632"/>
      <c r="AE34" s="632"/>
      <c r="AF34" s="632"/>
      <c r="AG34" s="632"/>
      <c r="AH34" s="633"/>
      <c r="AI34" s="633"/>
    </row>
    <row r="35" spans="1:45" ht="27.75" customHeight="1">
      <c r="A35" s="1366" t="s">
        <v>491</v>
      </c>
      <c r="B35" s="1367"/>
      <c r="C35" s="1367"/>
      <c r="D35" s="1368"/>
      <c r="E35" s="1260" t="s">
        <v>137</v>
      </c>
      <c r="F35" s="1496" t="s">
        <v>138</v>
      </c>
      <c r="G35" s="1497"/>
      <c r="H35" s="1497"/>
      <c r="I35" s="1497"/>
      <c r="J35" s="1497"/>
      <c r="K35" s="1497"/>
      <c r="L35" s="1497"/>
      <c r="M35" s="1497"/>
      <c r="N35" s="1497"/>
      <c r="O35" s="1497"/>
      <c r="P35" s="1317" t="s">
        <v>492</v>
      </c>
      <c r="Q35" s="1343"/>
      <c r="R35" s="1343"/>
      <c r="S35" s="634"/>
      <c r="AA35" s="632"/>
      <c r="AB35" s="632"/>
      <c r="AC35" s="632"/>
      <c r="AD35" s="632"/>
      <c r="AE35" s="632"/>
      <c r="AF35" s="632"/>
      <c r="AG35" s="632"/>
      <c r="AH35" s="633"/>
      <c r="AI35" s="633"/>
    </row>
    <row r="36" spans="1:45" ht="27.75" customHeight="1">
      <c r="A36" s="1369"/>
      <c r="B36" s="1370"/>
      <c r="C36" s="1370"/>
      <c r="D36" s="1371"/>
      <c r="E36" s="1372"/>
      <c r="F36" s="1502" t="s">
        <v>493</v>
      </c>
      <c r="G36" s="1502"/>
      <c r="H36" s="1503" t="s">
        <v>494</v>
      </c>
      <c r="I36" s="1503"/>
      <c r="J36" s="1503" t="s">
        <v>495</v>
      </c>
      <c r="K36" s="1503"/>
      <c r="L36" s="1503" t="s">
        <v>496</v>
      </c>
      <c r="M36" s="1503">
        <v>6</v>
      </c>
      <c r="N36" s="1503" t="s">
        <v>497</v>
      </c>
      <c r="O36" s="1504"/>
      <c r="P36" s="1317"/>
      <c r="Q36" s="1343"/>
      <c r="R36" s="1343"/>
      <c r="S36" s="631"/>
      <c r="AA36" s="632"/>
      <c r="AB36" s="632"/>
      <c r="AC36" s="632"/>
      <c r="AD36" s="632"/>
      <c r="AE36" s="632"/>
      <c r="AF36" s="632"/>
      <c r="AG36" s="632"/>
      <c r="AH36" s="633"/>
      <c r="AI36" s="633"/>
    </row>
    <row r="37" spans="1:45" ht="27.75" customHeight="1">
      <c r="A37" s="635" t="s">
        <v>458</v>
      </c>
      <c r="B37" s="585" t="s">
        <v>136</v>
      </c>
      <c r="C37" s="1375" t="s">
        <v>84</v>
      </c>
      <c r="D37" s="1375"/>
      <c r="E37" s="1261"/>
      <c r="F37" s="1505" t="s">
        <v>498</v>
      </c>
      <c r="G37" s="1505" t="s">
        <v>499</v>
      </c>
      <c r="H37" s="1505" t="s">
        <v>498</v>
      </c>
      <c r="I37" s="1505" t="s">
        <v>499</v>
      </c>
      <c r="J37" s="1505" t="s">
        <v>498</v>
      </c>
      <c r="K37" s="1505" t="s">
        <v>499</v>
      </c>
      <c r="L37" s="1505" t="s">
        <v>498</v>
      </c>
      <c r="M37" s="1505" t="s">
        <v>499</v>
      </c>
      <c r="N37" s="1505" t="s">
        <v>498</v>
      </c>
      <c r="O37" s="1505" t="s">
        <v>499</v>
      </c>
      <c r="P37" s="1356" t="s">
        <v>500</v>
      </c>
      <c r="Q37" s="1357"/>
      <c r="R37" s="1357"/>
      <c r="S37" s="634"/>
      <c r="AA37" s="632"/>
      <c r="AB37" s="632"/>
      <c r="AC37" s="636"/>
      <c r="AD37" s="636"/>
      <c r="AE37" s="636"/>
      <c r="AF37" s="636"/>
      <c r="AG37" s="636"/>
      <c r="AH37" s="633"/>
      <c r="AI37" s="633"/>
    </row>
    <row r="38" spans="1:45" ht="27.75" customHeight="1">
      <c r="A38" s="637"/>
      <c r="B38" s="1376" t="s">
        <v>501</v>
      </c>
      <c r="C38" s="1006" t="s">
        <v>502</v>
      </c>
      <c r="D38" s="1006"/>
      <c r="E38" s="341">
        <v>1.03</v>
      </c>
      <c r="F38" s="722">
        <f>ROUND(T38*(1-$G$63),2)</f>
        <v>23570.400000000001</v>
      </c>
      <c r="G38" s="723">
        <f>ROUND(U38*(1-$G$63),2)</f>
        <v>24177.3</v>
      </c>
      <c r="H38" s="725">
        <f>ROUND(V38*(1-$G$63),2)</f>
        <v>25884.6</v>
      </c>
      <c r="I38" s="727">
        <f t="shared" ref="I38" si="2">ROUND(W38*(1-$G$63),2)</f>
        <v>26506.2</v>
      </c>
      <c r="J38" s="342" t="s">
        <v>78</v>
      </c>
      <c r="K38" s="342" t="s">
        <v>78</v>
      </c>
      <c r="L38" s="342" t="s">
        <v>78</v>
      </c>
      <c r="M38" s="342" t="s">
        <v>78</v>
      </c>
      <c r="N38" s="342" t="s">
        <v>78</v>
      </c>
      <c r="O38" s="638" t="s">
        <v>78</v>
      </c>
      <c r="P38" s="1356"/>
      <c r="Q38" s="1357"/>
      <c r="R38" s="1357"/>
      <c r="T38" s="717">
        <v>23570.400000000001</v>
      </c>
      <c r="U38" s="717">
        <v>24177.3</v>
      </c>
      <c r="V38" s="615">
        <v>25884.600000000002</v>
      </c>
      <c r="W38" s="615">
        <v>26506.2</v>
      </c>
      <c r="X38" s="639"/>
      <c r="Y38" s="639"/>
      <c r="Z38" s="639"/>
      <c r="AA38" s="640"/>
      <c r="AB38" s="641"/>
      <c r="AC38" s="641"/>
      <c r="AD38" s="636"/>
      <c r="AE38" s="636"/>
      <c r="AF38" s="636"/>
      <c r="AG38" s="636"/>
      <c r="AH38" s="633"/>
      <c r="AI38" s="633"/>
    </row>
    <row r="39" spans="1:45" ht="27.75" customHeight="1">
      <c r="A39" s="642"/>
      <c r="B39" s="1377"/>
      <c r="C39" s="1006"/>
      <c r="D39" s="1006"/>
      <c r="E39" s="343">
        <v>1.53</v>
      </c>
      <c r="F39" s="721">
        <f>ROUND(T39*(1-$G$63),2)</f>
        <v>25077.15</v>
      </c>
      <c r="G39" s="666" t="str">
        <f>ROUND(U39*(1-$G$63),0)&amp;"*"</f>
        <v>25707*</v>
      </c>
      <c r="H39" s="726">
        <f t="shared" ref="H39:H41" si="3">ROUND(V39*(1-$G$63),2)</f>
        <v>27742.05</v>
      </c>
      <c r="I39" s="669" t="str">
        <f>ROUND(W39*(1-$G$63),0)&amp;"*"</f>
        <v>28504*</v>
      </c>
      <c r="J39" s="726">
        <f t="shared" ref="J39:O41" si="4">ROUND(X39*(1-$G$63),2)</f>
        <v>30431.1</v>
      </c>
      <c r="K39" s="726">
        <f t="shared" si="4"/>
        <v>31057.95</v>
      </c>
      <c r="L39" s="726">
        <f t="shared" si="4"/>
        <v>33201</v>
      </c>
      <c r="M39" s="726">
        <f t="shared" si="4"/>
        <v>33857.25</v>
      </c>
      <c r="N39" s="726">
        <f t="shared" si="4"/>
        <v>38837.4</v>
      </c>
      <c r="O39" s="728">
        <f t="shared" si="4"/>
        <v>39433.800000000003</v>
      </c>
      <c r="P39" s="1356"/>
      <c r="Q39" s="1357"/>
      <c r="R39" s="1357"/>
      <c r="S39" s="351"/>
      <c r="T39" s="717">
        <v>25077.15</v>
      </c>
      <c r="U39" s="717">
        <v>25707.15</v>
      </c>
      <c r="V39" s="615">
        <v>27742.050000000003</v>
      </c>
      <c r="W39" s="615">
        <v>28504.350000000002</v>
      </c>
      <c r="X39" s="615">
        <v>30431.100000000002</v>
      </c>
      <c r="Y39" s="615">
        <v>31057.95</v>
      </c>
      <c r="Z39" s="615">
        <v>33201</v>
      </c>
      <c r="AA39" s="643">
        <v>33857.25</v>
      </c>
      <c r="AB39" s="644">
        <v>38837.4</v>
      </c>
      <c r="AC39" s="644">
        <v>39433.800000000003</v>
      </c>
      <c r="AD39" s="636"/>
      <c r="AE39" s="636"/>
      <c r="AF39" s="636"/>
      <c r="AG39" s="636"/>
      <c r="AH39" s="633"/>
      <c r="AI39" s="633"/>
    </row>
    <row r="40" spans="1:45" ht="27.75" customHeight="1">
      <c r="A40" s="642"/>
      <c r="B40" s="1377"/>
      <c r="C40" s="1006"/>
      <c r="D40" s="1006"/>
      <c r="E40" s="338">
        <v>1.73</v>
      </c>
      <c r="F40" s="720">
        <f>ROUND(T40*(1-$G$63),2)</f>
        <v>28822.5</v>
      </c>
      <c r="G40" s="666" t="str">
        <f>ROUND(U40*(1-$G$63),0)&amp;"*"</f>
        <v>29874*</v>
      </c>
      <c r="H40" s="726">
        <f t="shared" si="3"/>
        <v>32091.15</v>
      </c>
      <c r="I40" s="669" t="str">
        <f>ROUND(W40*(1-$G$63),0)&amp;"*"</f>
        <v>33073*</v>
      </c>
      <c r="J40" s="726">
        <f t="shared" si="4"/>
        <v>35241.15</v>
      </c>
      <c r="K40" s="726">
        <f t="shared" si="4"/>
        <v>36148.35</v>
      </c>
      <c r="L40" s="726">
        <f t="shared" si="4"/>
        <v>38152.800000000003</v>
      </c>
      <c r="M40" s="726">
        <f t="shared" si="4"/>
        <v>38904.6</v>
      </c>
      <c r="N40" s="726">
        <f t="shared" si="4"/>
        <v>44913.75</v>
      </c>
      <c r="O40" s="728">
        <f t="shared" si="4"/>
        <v>45777.9</v>
      </c>
      <c r="P40" s="1356"/>
      <c r="Q40" s="1357"/>
      <c r="R40" s="1357"/>
      <c r="S40" s="614"/>
      <c r="T40" s="717">
        <v>28822.5</v>
      </c>
      <c r="U40" s="717">
        <v>29873.550000000003</v>
      </c>
      <c r="V40" s="615">
        <v>32091.15</v>
      </c>
      <c r="W40" s="615">
        <v>33072.9</v>
      </c>
      <c r="X40" s="615">
        <v>35241.15</v>
      </c>
      <c r="Y40" s="615">
        <v>36148.35</v>
      </c>
      <c r="Z40" s="615">
        <v>38152.800000000003</v>
      </c>
      <c r="AA40" s="643">
        <v>38904.6</v>
      </c>
      <c r="AB40" s="643">
        <v>44913.75</v>
      </c>
      <c r="AC40" s="644">
        <v>45777.9</v>
      </c>
      <c r="AD40" s="636"/>
      <c r="AE40" s="636"/>
      <c r="AF40" s="636"/>
      <c r="AG40" s="636"/>
      <c r="AH40" s="633"/>
      <c r="AI40" s="633"/>
    </row>
    <row r="41" spans="1:45" ht="27.75" customHeight="1">
      <c r="A41" s="645"/>
      <c r="B41" s="1032"/>
      <c r="C41" s="1006"/>
      <c r="D41" s="1006"/>
      <c r="E41" s="21">
        <v>2.0299999999999998</v>
      </c>
      <c r="F41" s="719">
        <f>ROUND(T41*(1-$G$63),2)</f>
        <v>29685.599999999999</v>
      </c>
      <c r="G41" s="667" t="str">
        <f>ROUND(U41*(1-$G$63),0)&amp;"****"</f>
        <v>30738****</v>
      </c>
      <c r="H41" s="724">
        <f t="shared" si="3"/>
        <v>33470.85</v>
      </c>
      <c r="I41" s="670" t="str">
        <f>ROUND(W41*(1-$G$63),0)&amp;"****"</f>
        <v>34436****</v>
      </c>
      <c r="J41" s="724">
        <f t="shared" si="4"/>
        <v>36478.050000000003</v>
      </c>
      <c r="K41" s="724">
        <f t="shared" si="4"/>
        <v>37479.75</v>
      </c>
      <c r="L41" s="724">
        <f t="shared" si="4"/>
        <v>39459</v>
      </c>
      <c r="M41" s="724">
        <f t="shared" si="4"/>
        <v>40390.35</v>
      </c>
      <c r="N41" s="724">
        <f t="shared" si="4"/>
        <v>46457.25</v>
      </c>
      <c r="O41" s="729">
        <f t="shared" si="4"/>
        <v>47473.65</v>
      </c>
      <c r="P41" s="1356"/>
      <c r="Q41" s="1357"/>
      <c r="R41" s="1357"/>
      <c r="S41" s="614"/>
      <c r="T41" s="717">
        <v>29685.600000000002</v>
      </c>
      <c r="U41" s="717">
        <v>30737.7</v>
      </c>
      <c r="V41" s="615">
        <v>33470.85</v>
      </c>
      <c r="W41" s="615">
        <v>34435.800000000003</v>
      </c>
      <c r="X41" s="615">
        <v>36478.050000000003</v>
      </c>
      <c r="Y41" s="615">
        <v>37479.75</v>
      </c>
      <c r="Z41" s="615">
        <v>39459</v>
      </c>
      <c r="AA41" s="643">
        <v>40390.35</v>
      </c>
      <c r="AB41" s="644">
        <v>46457.25</v>
      </c>
      <c r="AC41" s="644">
        <v>47473.65</v>
      </c>
      <c r="AD41" s="636"/>
      <c r="AE41" s="636"/>
      <c r="AF41" s="636"/>
      <c r="AG41" s="636"/>
      <c r="AH41" s="633"/>
      <c r="AI41" s="633"/>
    </row>
    <row r="42" spans="1:45" s="590" customFormat="1" ht="15" customHeight="1">
      <c r="A42" s="1338"/>
      <c r="B42" s="1339"/>
      <c r="C42" s="1339"/>
      <c r="D42" s="1339"/>
      <c r="E42" s="1339"/>
      <c r="F42" s="1339"/>
      <c r="G42" s="1339"/>
      <c r="H42" s="1339"/>
      <c r="I42" s="1339"/>
      <c r="J42" s="1339"/>
      <c r="K42" s="1339"/>
      <c r="L42" s="1339"/>
      <c r="M42" s="1339"/>
      <c r="N42" s="1339"/>
      <c r="O42" s="1340"/>
      <c r="P42" s="646"/>
      <c r="Q42" s="636"/>
      <c r="R42" s="636"/>
      <c r="S42" s="634"/>
      <c r="X42" s="647"/>
      <c r="Y42" s="647"/>
      <c r="AA42" s="648"/>
      <c r="AB42" s="636"/>
      <c r="AC42" s="636"/>
      <c r="AD42" s="636"/>
      <c r="AE42" s="636"/>
      <c r="AF42" s="636"/>
      <c r="AG42" s="636"/>
      <c r="AH42" s="649"/>
      <c r="AI42" s="64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</row>
    <row r="43" spans="1:45" s="590" customFormat="1" ht="30" customHeight="1">
      <c r="A43" s="1341" t="s">
        <v>458</v>
      </c>
      <c r="B43" s="1341"/>
      <c r="C43" s="1342" t="s">
        <v>136</v>
      </c>
      <c r="D43" s="1342"/>
      <c r="E43" s="901" t="s">
        <v>137</v>
      </c>
      <c r="F43" s="1309" t="s">
        <v>138</v>
      </c>
      <c r="G43" s="1310"/>
      <c r="H43" s="1310"/>
      <c r="I43" s="1310"/>
      <c r="J43" s="1509" t="s">
        <v>503</v>
      </c>
      <c r="K43" s="1318" t="s">
        <v>504</v>
      </c>
      <c r="L43" s="1319"/>
      <c r="M43" s="1319"/>
      <c r="N43" s="1320"/>
      <c r="O43" s="636"/>
      <c r="P43" s="1509" t="s">
        <v>505</v>
      </c>
      <c r="Q43" s="1510"/>
      <c r="R43" s="1510"/>
      <c r="S43" s="634"/>
      <c r="U43" s="718"/>
      <c r="V43" s="718"/>
      <c r="W43" s="718"/>
      <c r="X43" s="718"/>
      <c r="Y43" s="718"/>
      <c r="Z43" s="718"/>
      <c r="AA43" s="718"/>
      <c r="AB43" s="718"/>
      <c r="AC43" s="718"/>
      <c r="AD43" s="718"/>
      <c r="AE43" s="650"/>
      <c r="AF43" s="650"/>
      <c r="AG43" s="650"/>
      <c r="AH43" s="649"/>
      <c r="AI43" s="64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</row>
    <row r="44" spans="1:45" s="590" customFormat="1" ht="30" customHeight="1">
      <c r="A44" s="1341"/>
      <c r="B44" s="1341"/>
      <c r="C44" s="1342"/>
      <c r="D44" s="1342"/>
      <c r="E44" s="901"/>
      <c r="F44" s="1327">
        <v>1</v>
      </c>
      <c r="G44" s="1328"/>
      <c r="H44" s="1344">
        <v>3.45</v>
      </c>
      <c r="I44" s="1345"/>
      <c r="J44" s="1509"/>
      <c r="K44" s="1321"/>
      <c r="L44" s="1322"/>
      <c r="M44" s="1322"/>
      <c r="N44" s="1323"/>
      <c r="O44" s="636"/>
      <c r="P44" s="1509"/>
      <c r="Q44" s="1510"/>
      <c r="R44" s="1510"/>
      <c r="S44" s="634"/>
      <c r="U44" s="718"/>
      <c r="V44" s="718"/>
      <c r="W44" s="718"/>
      <c r="X44" s="718"/>
      <c r="Y44" s="718"/>
      <c r="Z44" s="718"/>
      <c r="AA44" s="718"/>
      <c r="AB44" s="718"/>
      <c r="AC44" s="718"/>
      <c r="AD44" s="718"/>
      <c r="AE44" s="650"/>
      <c r="AF44" s="650"/>
      <c r="AG44" s="650"/>
      <c r="AH44" s="649"/>
      <c r="AI44" s="64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</row>
    <row r="45" spans="1:45" s="590" customFormat="1" ht="30" customHeight="1">
      <c r="A45" s="1346"/>
      <c r="B45" s="1347"/>
      <c r="C45" s="1034" t="s">
        <v>506</v>
      </c>
      <c r="D45" s="1034"/>
      <c r="E45" s="651">
        <v>1.6</v>
      </c>
      <c r="F45" s="1352">
        <f>ROUND(T45*(1-$G$63),2)</f>
        <v>10090.5</v>
      </c>
      <c r="G45" s="1353"/>
      <c r="H45" s="1354" t="s">
        <v>78</v>
      </c>
      <c r="I45" s="1355"/>
      <c r="J45" s="1509"/>
      <c r="K45" s="1321"/>
      <c r="L45" s="1322"/>
      <c r="M45" s="1322"/>
      <c r="N45" s="1323"/>
      <c r="O45" s="636"/>
      <c r="P45" s="1356" t="s">
        <v>507</v>
      </c>
      <c r="Q45" s="1357"/>
      <c r="R45" s="1357"/>
      <c r="S45" s="634"/>
      <c r="T45" s="714">
        <v>10090.5</v>
      </c>
      <c r="U45" s="718"/>
      <c r="V45" s="718"/>
      <c r="W45" s="718"/>
      <c r="X45" s="718"/>
      <c r="Y45" s="718"/>
      <c r="Z45" s="718"/>
      <c r="AA45" s="718"/>
      <c r="AB45" s="718"/>
      <c r="AC45" s="718"/>
      <c r="AD45" s="718"/>
      <c r="AE45" s="647"/>
      <c r="AF45" s="647"/>
      <c r="AG45" s="647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</row>
    <row r="46" spans="1:45" ht="30" customHeight="1">
      <c r="A46" s="1348"/>
      <c r="B46" s="1349"/>
      <c r="C46" s="1034"/>
      <c r="D46" s="1034"/>
      <c r="E46" s="652">
        <v>2</v>
      </c>
      <c r="F46" s="1358">
        <f>ROUND(T46*(1-$G$63),2)</f>
        <v>10493.7</v>
      </c>
      <c r="G46" s="1359"/>
      <c r="H46" s="1360" t="s">
        <v>78</v>
      </c>
      <c r="I46" s="1361"/>
      <c r="J46" s="1509"/>
      <c r="K46" s="1321"/>
      <c r="L46" s="1322"/>
      <c r="M46" s="1322"/>
      <c r="N46" s="1323"/>
      <c r="O46" s="636"/>
      <c r="P46" s="1356"/>
      <c r="Q46" s="1357"/>
      <c r="R46" s="1357"/>
      <c r="T46" s="714">
        <v>10493.7</v>
      </c>
      <c r="U46" s="718"/>
      <c r="V46" s="718"/>
      <c r="W46" s="718"/>
      <c r="X46" s="718"/>
      <c r="Y46" s="718"/>
      <c r="Z46" s="718"/>
      <c r="AA46" s="718"/>
      <c r="AB46" s="718"/>
      <c r="AC46" s="718"/>
      <c r="AD46" s="718"/>
    </row>
    <row r="47" spans="1:45" ht="30" customHeight="1">
      <c r="A47" s="1348"/>
      <c r="B47" s="1349"/>
      <c r="C47" s="1034" t="s">
        <v>508</v>
      </c>
      <c r="D47" s="1034"/>
      <c r="E47" s="653">
        <v>1.6</v>
      </c>
      <c r="F47" s="1354" t="s">
        <v>78</v>
      </c>
      <c r="G47" s="1362"/>
      <c r="H47" s="1352">
        <f>ROUND(T47*(1-$G$63),2)</f>
        <v>18760.349999999999</v>
      </c>
      <c r="I47" s="1363"/>
      <c r="J47" s="1509"/>
      <c r="K47" s="1321"/>
      <c r="L47" s="1322"/>
      <c r="M47" s="1322"/>
      <c r="N47" s="1323"/>
      <c r="O47" s="636"/>
      <c r="P47" s="1356"/>
      <c r="Q47" s="1357"/>
      <c r="R47" s="1357"/>
      <c r="S47" s="351"/>
      <c r="T47" s="615">
        <v>18760.350000000002</v>
      </c>
      <c r="U47" s="718"/>
    </row>
    <row r="48" spans="1:45" ht="30" customHeight="1">
      <c r="A48" s="1350"/>
      <c r="B48" s="1351"/>
      <c r="C48" s="1034"/>
      <c r="D48" s="1034"/>
      <c r="E48" s="652">
        <v>2</v>
      </c>
      <c r="F48" s="1360" t="s">
        <v>78</v>
      </c>
      <c r="G48" s="1364"/>
      <c r="H48" s="1358">
        <f>ROUND(T48*(1-$G$63),2)</f>
        <v>19458.599999999999</v>
      </c>
      <c r="I48" s="1365"/>
      <c r="J48" s="1509"/>
      <c r="K48" s="1324"/>
      <c r="L48" s="1325"/>
      <c r="M48" s="1325"/>
      <c r="N48" s="1326"/>
      <c r="O48" s="636"/>
      <c r="P48" s="1356"/>
      <c r="Q48" s="1357"/>
      <c r="R48" s="1357"/>
      <c r="S48" s="654"/>
      <c r="T48" s="615">
        <v>19458.600000000002</v>
      </c>
      <c r="U48" s="718"/>
    </row>
    <row r="49" spans="1:74" ht="15" customHeight="1">
      <c r="A49" s="590"/>
      <c r="B49" s="655"/>
      <c r="C49" s="648"/>
      <c r="E49" s="655"/>
      <c r="F49" s="655"/>
      <c r="G49" s="655"/>
      <c r="H49" s="655"/>
      <c r="I49" s="655"/>
      <c r="K49" s="656"/>
      <c r="L49" s="636"/>
      <c r="M49" s="636"/>
      <c r="N49" s="636"/>
      <c r="O49" s="636"/>
      <c r="P49" s="1356"/>
      <c r="Q49" s="1357"/>
      <c r="R49" s="1357"/>
      <c r="S49" s="657"/>
      <c r="U49" s="603"/>
      <c r="V49" s="603"/>
      <c r="W49" s="603"/>
    </row>
    <row r="50" spans="1:74" s="1" customFormat="1" ht="27.75" customHeight="1">
      <c r="A50" s="1341" t="s">
        <v>458</v>
      </c>
      <c r="B50" s="1341"/>
      <c r="C50" s="1341" t="s">
        <v>136</v>
      </c>
      <c r="D50" s="1341"/>
      <c r="E50" s="1307" t="s">
        <v>137</v>
      </c>
      <c r="F50" s="1309" t="s">
        <v>138</v>
      </c>
      <c r="G50" s="1310"/>
      <c r="H50" s="1310"/>
      <c r="I50" s="1310"/>
      <c r="J50" s="1509" t="s">
        <v>509</v>
      </c>
      <c r="K50" s="1318" t="s">
        <v>510</v>
      </c>
      <c r="L50" s="1319"/>
      <c r="M50" s="1319"/>
      <c r="N50" s="1320"/>
      <c r="O50" s="636"/>
      <c r="P50" s="1356"/>
      <c r="Q50" s="1357"/>
      <c r="R50" s="1357"/>
      <c r="S50" s="657"/>
      <c r="U50" s="658"/>
      <c r="V50" s="658"/>
      <c r="W50" s="658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587"/>
      <c r="AI50" s="587"/>
      <c r="AJ50" s="587"/>
      <c r="AK50" s="587"/>
      <c r="AL50" s="587"/>
      <c r="AM50" s="587"/>
      <c r="AN50" s="587"/>
      <c r="AO50" s="587"/>
      <c r="AP50" s="587"/>
      <c r="AQ50" s="587"/>
      <c r="AR50" s="587"/>
      <c r="AS50" s="587"/>
    </row>
    <row r="51" spans="1:74" s="1" customFormat="1" ht="27.75" customHeight="1">
      <c r="A51" s="1341"/>
      <c r="B51" s="1341"/>
      <c r="C51" s="1341"/>
      <c r="D51" s="1341"/>
      <c r="E51" s="1308"/>
      <c r="F51" s="1327">
        <v>1</v>
      </c>
      <c r="G51" s="1328"/>
      <c r="H51" s="1327">
        <v>5</v>
      </c>
      <c r="I51" s="1329"/>
      <c r="J51" s="1509"/>
      <c r="K51" s="1321"/>
      <c r="L51" s="1322"/>
      <c r="M51" s="1322"/>
      <c r="N51" s="1323"/>
      <c r="O51" s="636"/>
      <c r="P51" s="636"/>
      <c r="Q51" s="636"/>
      <c r="R51" s="636"/>
      <c r="S51" s="659"/>
      <c r="U51" s="658"/>
      <c r="V51" s="658"/>
      <c r="W51" s="658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587"/>
      <c r="AI51" s="587"/>
      <c r="AJ51" s="587"/>
      <c r="AK51" s="587"/>
      <c r="AL51" s="587"/>
      <c r="AM51" s="587"/>
      <c r="AN51" s="587"/>
      <c r="AO51" s="587"/>
      <c r="AP51" s="587"/>
      <c r="AQ51" s="587"/>
      <c r="AR51" s="587"/>
      <c r="AS51" s="587"/>
    </row>
    <row r="52" spans="1:74" s="1" customFormat="1" ht="35.1" customHeight="1">
      <c r="A52" s="1330"/>
      <c r="B52" s="1331"/>
      <c r="C52" s="1336" t="s">
        <v>511</v>
      </c>
      <c r="D52" s="1336"/>
      <c r="E52" s="985">
        <v>1.95</v>
      </c>
      <c r="F52" s="1006">
        <f>ROUND(T52*(1-$G$63),2)</f>
        <v>10268</v>
      </c>
      <c r="G52" s="1006"/>
      <c r="H52" s="1006" t="s">
        <v>78</v>
      </c>
      <c r="I52" s="1289"/>
      <c r="J52" s="1509"/>
      <c r="K52" s="1321"/>
      <c r="L52" s="1322"/>
      <c r="M52" s="1322"/>
      <c r="N52" s="1323"/>
      <c r="O52" s="636"/>
      <c r="P52" s="636"/>
      <c r="Q52" s="636"/>
      <c r="R52" s="636"/>
      <c r="S52" s="659"/>
      <c r="T52" s="604">
        <v>10268</v>
      </c>
      <c r="U52" s="603"/>
      <c r="V52" s="603"/>
      <c r="W52" s="603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587"/>
      <c r="AI52" s="587"/>
      <c r="AJ52" s="587"/>
      <c r="AK52" s="587"/>
      <c r="AL52" s="587"/>
      <c r="AM52" s="587"/>
      <c r="AN52" s="587"/>
      <c r="AO52" s="587"/>
      <c r="AP52" s="587"/>
      <c r="AQ52" s="587"/>
      <c r="AR52" s="587"/>
      <c r="AS52" s="587"/>
    </row>
    <row r="53" spans="1:74" s="1" customFormat="1" ht="35.1" customHeight="1">
      <c r="A53" s="1332"/>
      <c r="B53" s="1333"/>
      <c r="C53" s="1336"/>
      <c r="D53" s="1336"/>
      <c r="E53" s="985"/>
      <c r="F53" s="1006"/>
      <c r="G53" s="1006"/>
      <c r="H53" s="1006"/>
      <c r="I53" s="1289"/>
      <c r="J53" s="1509"/>
      <c r="K53" s="1321"/>
      <c r="L53" s="1322"/>
      <c r="M53" s="1322"/>
      <c r="N53" s="1323"/>
      <c r="O53" s="636"/>
      <c r="P53" s="636"/>
      <c r="Q53" s="636"/>
      <c r="R53" s="636"/>
      <c r="S53" s="660"/>
      <c r="T53" s="603"/>
      <c r="U53" s="603"/>
      <c r="V53" s="603"/>
      <c r="W53" s="603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587"/>
      <c r="AI53" s="587"/>
      <c r="AJ53" s="587"/>
      <c r="AK53" s="587"/>
      <c r="AL53" s="587"/>
      <c r="AM53" s="587"/>
      <c r="AN53" s="587"/>
      <c r="AO53" s="587"/>
      <c r="AP53" s="587"/>
      <c r="AQ53" s="587"/>
      <c r="AR53" s="587"/>
      <c r="AS53" s="587"/>
    </row>
    <row r="54" spans="1:74" s="1" customFormat="1" ht="35.1" customHeight="1">
      <c r="A54" s="1332"/>
      <c r="B54" s="1333"/>
      <c r="C54" s="1337" t="s">
        <v>512</v>
      </c>
      <c r="D54" s="1337"/>
      <c r="E54" s="985">
        <v>1.95</v>
      </c>
      <c r="F54" s="1006" t="s">
        <v>78</v>
      </c>
      <c r="G54" s="1006"/>
      <c r="H54" s="1006">
        <f>ROUND(T54*(1-$G$63),2)</f>
        <v>20617</v>
      </c>
      <c r="I54" s="1289"/>
      <c r="J54" s="1509"/>
      <c r="K54" s="1321"/>
      <c r="L54" s="1322"/>
      <c r="M54" s="1322"/>
      <c r="N54" s="1323"/>
      <c r="O54" s="636"/>
      <c r="P54" s="636"/>
      <c r="Q54" s="636"/>
      <c r="R54" s="636"/>
      <c r="S54" s="660"/>
      <c r="T54" s="604">
        <v>20617</v>
      </c>
      <c r="U54" s="658"/>
      <c r="AA54" s="197"/>
      <c r="AB54" s="197"/>
      <c r="AC54" s="197"/>
      <c r="AD54" s="197"/>
      <c r="AE54" s="197"/>
      <c r="AF54" s="197"/>
      <c r="AG54" s="197"/>
      <c r="AH54" s="587"/>
      <c r="AI54" s="587"/>
      <c r="AJ54" s="587"/>
      <c r="AK54" s="587"/>
      <c r="AL54" s="587"/>
      <c r="AM54" s="587"/>
      <c r="AN54" s="587"/>
      <c r="AO54" s="587"/>
      <c r="AP54" s="587"/>
      <c r="AQ54" s="587"/>
      <c r="AR54" s="587"/>
      <c r="AS54" s="587"/>
    </row>
    <row r="55" spans="1:74" s="1" customFormat="1" ht="35.1" customHeight="1">
      <c r="A55" s="1334"/>
      <c r="B55" s="1335"/>
      <c r="C55" s="1337"/>
      <c r="D55" s="1337"/>
      <c r="E55" s="985"/>
      <c r="F55" s="1006"/>
      <c r="G55" s="1006"/>
      <c r="H55" s="1006"/>
      <c r="I55" s="1289"/>
      <c r="J55" s="1509"/>
      <c r="K55" s="1324"/>
      <c r="L55" s="1325"/>
      <c r="M55" s="1325"/>
      <c r="N55" s="1326"/>
      <c r="O55" s="636"/>
      <c r="P55" s="636"/>
      <c r="Q55" s="636"/>
      <c r="R55" s="636"/>
      <c r="S55" s="660"/>
      <c r="T55" s="658"/>
      <c r="U55" s="658"/>
      <c r="AA55" s="197"/>
      <c r="AB55" s="197"/>
      <c r="AC55" s="197"/>
      <c r="AD55" s="197"/>
      <c r="AE55" s="197"/>
      <c r="AF55" s="197"/>
      <c r="AG55" s="197"/>
      <c r="AH55" s="587"/>
      <c r="AI55" s="587"/>
      <c r="AJ55" s="587"/>
      <c r="AK55" s="587"/>
      <c r="AL55" s="587"/>
      <c r="AM55" s="587"/>
      <c r="AN55" s="587"/>
      <c r="AO55" s="587"/>
      <c r="AP55" s="587"/>
      <c r="AQ55" s="587"/>
      <c r="AR55" s="587"/>
      <c r="AS55" s="587"/>
    </row>
    <row r="56" spans="1:74" ht="24.9" customHeight="1">
      <c r="A56" s="1424" t="s">
        <v>532</v>
      </c>
      <c r="B56" s="80" t="s">
        <v>533</v>
      </c>
      <c r="C56" s="77"/>
      <c r="D56" s="77"/>
      <c r="E56" s="675"/>
      <c r="F56" s="650" t="s">
        <v>90</v>
      </c>
      <c r="G56" s="77"/>
      <c r="J56" s="656"/>
      <c r="K56" s="77"/>
      <c r="L56" s="197"/>
      <c r="M56" s="1426" t="s">
        <v>514</v>
      </c>
      <c r="N56" s="1426"/>
      <c r="O56" s="1426"/>
      <c r="P56" s="1426"/>
      <c r="Q56" s="1426"/>
      <c r="R56" s="161"/>
    </row>
    <row r="57" spans="1:74" ht="24.9" customHeight="1">
      <c r="A57" s="1425"/>
      <c r="B57" s="80" t="s">
        <v>534</v>
      </c>
      <c r="C57" s="77"/>
      <c r="D57" s="77"/>
      <c r="E57" s="675"/>
      <c r="F57" s="647" t="s">
        <v>516</v>
      </c>
      <c r="G57" s="77"/>
      <c r="J57" s="77"/>
      <c r="K57" s="77"/>
      <c r="L57" s="197"/>
      <c r="M57" s="1426"/>
      <c r="N57" s="1426"/>
      <c r="O57" s="1426"/>
      <c r="P57" s="1426"/>
      <c r="Q57" s="1426"/>
      <c r="R57" s="161"/>
    </row>
    <row r="58" spans="1:74" ht="24.9" customHeight="1">
      <c r="A58" s="1425"/>
      <c r="B58" s="80" t="s">
        <v>535</v>
      </c>
      <c r="C58" s="77"/>
      <c r="D58" s="77"/>
      <c r="E58" s="77"/>
      <c r="F58" s="661" t="s">
        <v>513</v>
      </c>
      <c r="G58" s="77"/>
      <c r="K58" s="603"/>
      <c r="L58" s="603"/>
      <c r="M58" s="1426" t="s">
        <v>515</v>
      </c>
      <c r="N58" s="1426"/>
      <c r="O58" s="1426"/>
      <c r="P58" s="1426"/>
      <c r="Q58" s="1426"/>
      <c r="R58" s="161"/>
    </row>
    <row r="59" spans="1:74" ht="24.9" customHeight="1">
      <c r="A59" s="1425"/>
      <c r="B59" s="80" t="s">
        <v>536</v>
      </c>
      <c r="C59" s="77"/>
      <c r="D59" s="77"/>
      <c r="E59" s="77"/>
      <c r="F59" s="676" t="s">
        <v>517</v>
      </c>
      <c r="G59" s="77"/>
      <c r="K59" s="662"/>
      <c r="L59" s="662"/>
      <c r="M59" s="1426"/>
      <c r="N59" s="1426"/>
      <c r="O59" s="1426"/>
      <c r="P59" s="1426"/>
      <c r="Q59" s="1426"/>
      <c r="R59" s="161"/>
    </row>
    <row r="60" spans="1:74" ht="24.9" customHeight="1">
      <c r="B60" s="603"/>
      <c r="C60" s="603"/>
      <c r="D60" s="603"/>
      <c r="E60" s="603"/>
      <c r="F60" s="603"/>
      <c r="G60" s="603"/>
      <c r="H60" s="603"/>
    </row>
    <row r="61" spans="1:74" s="663" customFormat="1">
      <c r="B61" s="662"/>
      <c r="C61" s="662"/>
      <c r="D61" s="662"/>
      <c r="E61" s="662"/>
      <c r="F61" s="662"/>
      <c r="G61" s="662"/>
      <c r="H61" s="662"/>
      <c r="I61" s="662"/>
      <c r="J61" s="662"/>
      <c r="K61" s="8"/>
      <c r="L61" s="8"/>
      <c r="M61" s="8"/>
      <c r="N61" s="8"/>
      <c r="O61" s="8"/>
      <c r="P61" s="8"/>
      <c r="Q61" s="8"/>
      <c r="R61"/>
      <c r="S61" s="603"/>
      <c r="T61" s="603"/>
      <c r="U61" s="603"/>
      <c r="V61" s="603"/>
      <c r="W61" s="603"/>
      <c r="X61" s="599"/>
      <c r="Y61" s="599"/>
      <c r="Z61" s="599"/>
      <c r="AA61" s="599"/>
      <c r="AB61" s="599"/>
      <c r="AC61" s="599"/>
      <c r="AD61" s="599"/>
      <c r="AE61" s="599"/>
      <c r="AF61" s="599"/>
      <c r="AG61" s="599"/>
      <c r="AH61" s="600"/>
      <c r="AI61" s="600"/>
      <c r="AJ61" s="600"/>
      <c r="AK61" s="600"/>
      <c r="AL61" s="600"/>
      <c r="AM61" s="600"/>
      <c r="AN61" s="600"/>
      <c r="AO61" s="600"/>
      <c r="AP61" s="600"/>
      <c r="AQ61" s="600"/>
      <c r="AR61" s="600"/>
      <c r="AS61" s="600"/>
      <c r="AT61" s="597"/>
      <c r="AU61" s="597"/>
      <c r="AV61" s="597"/>
      <c r="AW61" s="597"/>
      <c r="AX61" s="597"/>
      <c r="AY61" s="597"/>
      <c r="AZ61" s="597"/>
      <c r="BA61" s="597"/>
      <c r="BB61" s="597"/>
      <c r="BC61" s="597"/>
      <c r="BD61" s="597"/>
      <c r="BE61" s="597"/>
      <c r="BF61" s="597"/>
      <c r="BG61" s="597"/>
      <c r="BH61" s="597"/>
      <c r="BI61" s="597"/>
      <c r="BJ61" s="597"/>
      <c r="BK61" s="597"/>
      <c r="BL61" s="597"/>
      <c r="BM61" s="597"/>
      <c r="BN61" s="597"/>
      <c r="BO61" s="597"/>
      <c r="BP61" s="597"/>
      <c r="BQ61" s="597"/>
      <c r="BR61" s="597"/>
      <c r="BS61" s="597"/>
      <c r="BT61" s="597"/>
      <c r="BU61" s="597"/>
      <c r="BV61" s="597"/>
    </row>
    <row r="62" spans="1:74">
      <c r="X62" s="599"/>
      <c r="Y62" s="599"/>
      <c r="Z62" s="599"/>
      <c r="AA62" s="599"/>
      <c r="AB62" s="599"/>
      <c r="AC62" s="599"/>
      <c r="AD62" s="599"/>
      <c r="AE62" s="599"/>
      <c r="AF62" s="599"/>
      <c r="AG62" s="599"/>
      <c r="AH62" s="600"/>
      <c r="AI62" s="600"/>
      <c r="AJ62" s="600"/>
      <c r="AK62" s="600"/>
      <c r="AL62" s="600"/>
      <c r="AM62" s="600"/>
      <c r="AN62" s="600"/>
      <c r="AO62" s="600"/>
      <c r="AP62" s="600"/>
      <c r="AQ62" s="600"/>
      <c r="AR62" s="600"/>
      <c r="AS62" s="600"/>
      <c r="AT62" s="597"/>
      <c r="AU62" s="597"/>
      <c r="AV62" s="597"/>
      <c r="AW62" s="597"/>
      <c r="AX62" s="597"/>
      <c r="AY62" s="597"/>
      <c r="AZ62" s="597"/>
      <c r="BA62" s="597"/>
      <c r="BB62" s="597"/>
      <c r="BC62" s="597"/>
      <c r="BD62" s="597"/>
      <c r="BE62" s="597"/>
      <c r="BF62" s="597"/>
      <c r="BG62" s="597"/>
      <c r="BH62" s="597"/>
      <c r="BI62" s="597"/>
      <c r="BJ62" s="597"/>
      <c r="BK62" s="597"/>
      <c r="BL62" s="597"/>
      <c r="BM62" s="597"/>
      <c r="BN62" s="597"/>
      <c r="BO62" s="597"/>
      <c r="BP62" s="597"/>
      <c r="BQ62" s="597"/>
      <c r="BR62" s="597"/>
      <c r="BS62" s="597"/>
      <c r="BT62" s="597"/>
      <c r="BU62" s="597"/>
      <c r="BV62" s="597"/>
    </row>
    <row r="63" spans="1:74" ht="81.75" customHeight="1">
      <c r="A63" s="1506" t="s">
        <v>93</v>
      </c>
      <c r="B63" s="1507"/>
      <c r="C63" s="1507"/>
      <c r="D63" s="1507"/>
      <c r="E63" s="1507"/>
      <c r="F63" s="1508"/>
      <c r="G63" s="1316">
        <v>0</v>
      </c>
      <c r="H63" s="1316"/>
      <c r="I63" s="1316"/>
      <c r="J63" s="1316"/>
      <c r="X63" s="599"/>
      <c r="Y63" s="599"/>
      <c r="Z63" s="599"/>
      <c r="AA63" s="599"/>
      <c r="AB63" s="599"/>
      <c r="AC63" s="599"/>
      <c r="AD63" s="599"/>
      <c r="AE63" s="599"/>
      <c r="AF63" s="599"/>
      <c r="AG63" s="599"/>
      <c r="AH63" s="600"/>
      <c r="AI63" s="600"/>
      <c r="AJ63" s="600"/>
      <c r="AK63" s="600"/>
      <c r="AL63" s="600"/>
      <c r="AM63" s="600"/>
      <c r="AN63" s="600"/>
      <c r="AO63" s="600"/>
      <c r="AP63" s="600"/>
      <c r="AQ63" s="600"/>
      <c r="AR63" s="600"/>
      <c r="AS63" s="600"/>
      <c r="AT63" s="597"/>
      <c r="AU63" s="597"/>
      <c r="AV63" s="597"/>
      <c r="AW63" s="597"/>
      <c r="AX63" s="597"/>
      <c r="AY63" s="597"/>
      <c r="AZ63" s="597"/>
      <c r="BA63" s="597"/>
      <c r="BB63" s="597"/>
      <c r="BC63" s="597"/>
      <c r="BD63" s="597"/>
      <c r="BE63" s="597"/>
      <c r="BF63" s="597"/>
      <c r="BG63" s="597"/>
      <c r="BH63" s="597"/>
      <c r="BI63" s="597"/>
      <c r="BJ63" s="597"/>
      <c r="BK63" s="597"/>
      <c r="BL63" s="597"/>
      <c r="BM63" s="597"/>
      <c r="BN63" s="597"/>
      <c r="BO63" s="597"/>
      <c r="BP63" s="597"/>
      <c r="BQ63" s="597"/>
      <c r="BR63" s="597"/>
      <c r="BS63" s="597"/>
      <c r="BT63" s="597"/>
      <c r="BU63" s="597"/>
      <c r="BV63" s="597"/>
    </row>
    <row r="64" spans="1:74">
      <c r="X64" s="599"/>
      <c r="Y64" s="599"/>
      <c r="Z64" s="599"/>
      <c r="AA64" s="599"/>
      <c r="AB64" s="599"/>
      <c r="AC64" s="599"/>
      <c r="AD64" s="599"/>
      <c r="AE64" s="599"/>
      <c r="AF64" s="599"/>
      <c r="AG64" s="599"/>
      <c r="AH64" s="600"/>
      <c r="AI64" s="600"/>
      <c r="AJ64" s="600"/>
      <c r="AK64" s="600"/>
      <c r="AL64" s="600"/>
      <c r="AM64" s="600"/>
      <c r="AN64" s="600"/>
      <c r="AO64" s="600"/>
      <c r="AP64" s="600"/>
      <c r="AQ64" s="600"/>
      <c r="AR64" s="600"/>
      <c r="AS64" s="600"/>
      <c r="AT64" s="597"/>
      <c r="AU64" s="597"/>
      <c r="AV64" s="597"/>
      <c r="AW64" s="597"/>
      <c r="AX64" s="597"/>
      <c r="AY64" s="597"/>
      <c r="AZ64" s="597"/>
      <c r="BA64" s="597"/>
      <c r="BB64" s="597"/>
      <c r="BC64" s="597"/>
      <c r="BD64" s="597"/>
      <c r="BE64" s="597"/>
      <c r="BF64" s="597"/>
      <c r="BG64" s="597"/>
      <c r="BH64" s="597"/>
      <c r="BI64" s="597"/>
      <c r="BJ64" s="597"/>
      <c r="BK64" s="597"/>
      <c r="BL64" s="597"/>
      <c r="BM64" s="597"/>
      <c r="BN64" s="597"/>
      <c r="BO64" s="597"/>
      <c r="BP64" s="597"/>
      <c r="BQ64" s="597"/>
      <c r="BR64" s="597"/>
      <c r="BS64" s="597"/>
      <c r="BT64" s="597"/>
      <c r="BU64" s="597"/>
      <c r="BV64" s="597"/>
    </row>
    <row r="65" spans="24:74">
      <c r="X65" s="599"/>
      <c r="Y65" s="599"/>
      <c r="Z65" s="599"/>
      <c r="AA65" s="599"/>
      <c r="AB65" s="599"/>
      <c r="AC65" s="599"/>
      <c r="AD65" s="599"/>
      <c r="AE65" s="599"/>
      <c r="AF65" s="599"/>
      <c r="AG65" s="599"/>
      <c r="AH65" s="600"/>
      <c r="AI65" s="600"/>
      <c r="AJ65" s="600"/>
      <c r="AK65" s="600"/>
      <c r="AL65" s="600"/>
      <c r="AM65" s="600"/>
      <c r="AN65" s="600"/>
      <c r="AO65" s="600"/>
      <c r="AP65" s="600"/>
      <c r="AQ65" s="600"/>
      <c r="AR65" s="600"/>
      <c r="AS65" s="600"/>
      <c r="AT65" s="597"/>
      <c r="AU65" s="597"/>
      <c r="AV65" s="597"/>
      <c r="AW65" s="597"/>
      <c r="AX65" s="597"/>
      <c r="AY65" s="597"/>
      <c r="AZ65" s="597"/>
      <c r="BA65" s="597"/>
      <c r="BB65" s="597"/>
      <c r="BC65" s="597"/>
      <c r="BD65" s="597"/>
      <c r="BE65" s="597"/>
      <c r="BF65" s="597"/>
      <c r="BG65" s="597"/>
      <c r="BH65" s="597"/>
      <c r="BI65" s="597"/>
      <c r="BJ65" s="597"/>
      <c r="BK65" s="597"/>
      <c r="BL65" s="597"/>
      <c r="BM65" s="597"/>
      <c r="BN65" s="597"/>
      <c r="BO65" s="597"/>
      <c r="BP65" s="597"/>
      <c r="BQ65" s="597"/>
      <c r="BR65" s="597"/>
      <c r="BS65" s="597"/>
      <c r="BT65" s="597"/>
      <c r="BU65" s="597"/>
      <c r="BV65" s="597"/>
    </row>
    <row r="66" spans="24:74">
      <c r="X66" s="599"/>
      <c r="Y66" s="599"/>
      <c r="Z66" s="599"/>
      <c r="AA66" s="599"/>
      <c r="AB66" s="599"/>
      <c r="AC66" s="599"/>
      <c r="AD66" s="599"/>
      <c r="AE66" s="599"/>
      <c r="AF66" s="599"/>
      <c r="AG66" s="599"/>
      <c r="AH66" s="600"/>
      <c r="AI66" s="600"/>
      <c r="AJ66" s="600"/>
      <c r="AK66" s="600"/>
      <c r="AL66" s="600"/>
      <c r="AM66" s="600"/>
      <c r="AN66" s="600"/>
      <c r="AO66" s="600"/>
      <c r="AP66" s="600"/>
      <c r="AQ66" s="600"/>
      <c r="AR66" s="600"/>
      <c r="AS66" s="600"/>
      <c r="AT66" s="597"/>
      <c r="AU66" s="597"/>
      <c r="AV66" s="597"/>
      <c r="AW66" s="597"/>
      <c r="AX66" s="597"/>
      <c r="AY66" s="597"/>
      <c r="AZ66" s="597"/>
      <c r="BA66" s="597"/>
      <c r="BB66" s="597"/>
      <c r="BC66" s="597"/>
      <c r="BD66" s="597"/>
      <c r="BE66" s="597"/>
      <c r="BF66" s="597"/>
      <c r="BG66" s="597"/>
      <c r="BH66" s="597"/>
      <c r="BI66" s="597"/>
      <c r="BJ66" s="597"/>
      <c r="BK66" s="597"/>
      <c r="BL66" s="597"/>
      <c r="BM66" s="597"/>
      <c r="BN66" s="597"/>
      <c r="BO66" s="597"/>
      <c r="BP66" s="597"/>
      <c r="BQ66" s="597"/>
      <c r="BR66" s="597"/>
      <c r="BS66" s="597"/>
      <c r="BT66" s="597"/>
      <c r="BU66" s="597"/>
      <c r="BV66" s="597"/>
    </row>
    <row r="67" spans="24:74">
      <c r="X67" s="599"/>
      <c r="Y67" s="599"/>
      <c r="Z67" s="599"/>
      <c r="AA67" s="599"/>
      <c r="AB67" s="599"/>
      <c r="AC67" s="599"/>
      <c r="AD67" s="599"/>
      <c r="AE67" s="599"/>
      <c r="AF67" s="599"/>
      <c r="AG67" s="599"/>
      <c r="AH67" s="600"/>
      <c r="AI67" s="600"/>
      <c r="AJ67" s="600"/>
      <c r="AK67" s="600"/>
      <c r="AL67" s="600"/>
      <c r="AM67" s="600"/>
      <c r="AN67" s="600"/>
      <c r="AO67" s="600"/>
      <c r="AP67" s="600"/>
      <c r="AQ67" s="600"/>
      <c r="AR67" s="600"/>
      <c r="AS67" s="600"/>
      <c r="AT67" s="597"/>
      <c r="AU67" s="597"/>
      <c r="AV67" s="597"/>
      <c r="AW67" s="597"/>
      <c r="AX67" s="597"/>
      <c r="AY67" s="597"/>
      <c r="AZ67" s="597"/>
      <c r="BA67" s="597"/>
      <c r="BB67" s="597"/>
      <c r="BC67" s="597"/>
      <c r="BD67" s="597"/>
      <c r="BE67" s="597"/>
      <c r="BF67" s="597"/>
      <c r="BG67" s="597"/>
      <c r="BH67" s="597"/>
      <c r="BI67" s="597"/>
      <c r="BJ67" s="597"/>
      <c r="BK67" s="597"/>
      <c r="BL67" s="597"/>
      <c r="BM67" s="597"/>
      <c r="BN67" s="597"/>
      <c r="BO67" s="597"/>
      <c r="BP67" s="597"/>
      <c r="BQ67" s="597"/>
      <c r="BR67" s="597"/>
      <c r="BS67" s="597"/>
      <c r="BT67" s="597"/>
      <c r="BU67" s="597"/>
      <c r="BV67" s="597"/>
    </row>
    <row r="68" spans="24:74" ht="30" customHeight="1">
      <c r="X68" s="599"/>
      <c r="Y68" s="599"/>
      <c r="Z68" s="664"/>
      <c r="AA68" s="664"/>
      <c r="AB68" s="664"/>
      <c r="AC68" s="664"/>
      <c r="AD68" s="664"/>
      <c r="AE68" s="664"/>
      <c r="AF68" s="664"/>
      <c r="AG68" s="664"/>
      <c r="AH68" s="664"/>
      <c r="AI68" s="665"/>
      <c r="AJ68" s="665"/>
      <c r="AK68" s="665"/>
      <c r="AL68" s="665"/>
      <c r="AM68" s="665"/>
      <c r="AN68" s="665"/>
      <c r="AO68" s="665"/>
      <c r="AP68" s="665"/>
      <c r="AQ68" s="665"/>
      <c r="AR68" s="665"/>
      <c r="AS68" s="665"/>
      <c r="AT68" s="597"/>
      <c r="AU68" s="597"/>
      <c r="AV68" s="597"/>
      <c r="AW68" s="1311"/>
      <c r="AX68" s="1311"/>
      <c r="AY68" s="1311"/>
      <c r="AZ68" s="1311"/>
      <c r="BA68" s="1311"/>
      <c r="BB68" s="1311"/>
      <c r="BC68" s="1311"/>
      <c r="BD68" s="1311"/>
      <c r="BE68" s="1311"/>
      <c r="BF68" s="1311"/>
      <c r="BG68" s="1311"/>
      <c r="BH68" s="1311"/>
      <c r="BI68" s="1311"/>
      <c r="BJ68" s="597"/>
      <c r="BK68" s="597"/>
      <c r="BL68" s="597"/>
      <c r="BM68" s="597"/>
      <c r="BN68" s="597"/>
      <c r="BO68" s="597"/>
      <c r="BP68" s="597"/>
      <c r="BQ68" s="597"/>
      <c r="BR68" s="597"/>
      <c r="BS68" s="597"/>
      <c r="BT68" s="597"/>
      <c r="BU68" s="597"/>
      <c r="BV68" s="597"/>
    </row>
    <row r="69" spans="24:74" ht="30" customHeight="1">
      <c r="X69" s="599"/>
      <c r="Y69" s="599"/>
      <c r="Z69" s="352"/>
      <c r="AA69" s="352"/>
      <c r="AB69" s="352"/>
      <c r="AC69" s="352"/>
      <c r="AD69" s="352"/>
      <c r="AE69" s="352"/>
      <c r="AF69" s="352"/>
      <c r="AG69" s="352"/>
      <c r="AH69" s="352"/>
      <c r="AI69" s="605"/>
      <c r="AJ69" s="605"/>
      <c r="AK69" s="605"/>
      <c r="AL69" s="605"/>
      <c r="AM69" s="605"/>
      <c r="AN69" s="605"/>
      <c r="AO69" s="605"/>
      <c r="AP69" s="605"/>
      <c r="AQ69" s="605"/>
      <c r="AR69" s="605"/>
      <c r="AS69" s="605"/>
      <c r="AT69" s="597"/>
      <c r="AU69" s="597"/>
      <c r="AV69" s="597"/>
      <c r="AW69" s="1311"/>
      <c r="AX69" s="1311"/>
      <c r="AY69" s="1311"/>
      <c r="AZ69" s="1311"/>
      <c r="BA69" s="1311"/>
      <c r="BB69" s="1311"/>
      <c r="BC69" s="1311"/>
      <c r="BD69" s="1311"/>
      <c r="BE69" s="1311"/>
      <c r="BF69" s="1311"/>
      <c r="BG69" s="1311"/>
      <c r="BH69" s="1311"/>
      <c r="BI69" s="1311"/>
      <c r="BJ69" s="597"/>
      <c r="BK69" s="597"/>
      <c r="BL69" s="597"/>
      <c r="BM69" s="597"/>
      <c r="BN69" s="597"/>
      <c r="BO69" s="597"/>
      <c r="BP69" s="597"/>
      <c r="BQ69" s="597"/>
      <c r="BR69" s="597"/>
      <c r="BS69" s="597"/>
      <c r="BT69" s="597"/>
      <c r="BU69" s="597"/>
      <c r="BV69" s="597"/>
    </row>
    <row r="70" spans="24:74" ht="20.399999999999999">
      <c r="X70" s="599"/>
      <c r="Y70" s="599"/>
      <c r="Z70" s="352"/>
      <c r="AA70" s="352"/>
      <c r="AB70" s="352"/>
      <c r="AC70" s="352"/>
      <c r="AD70" s="352"/>
      <c r="AE70" s="352"/>
      <c r="AF70" s="352"/>
      <c r="AG70" s="352"/>
      <c r="AH70" s="352"/>
      <c r="AI70" s="605"/>
      <c r="AJ70" s="605"/>
      <c r="AK70" s="605"/>
      <c r="AL70" s="605"/>
      <c r="AM70" s="605"/>
      <c r="AN70" s="605"/>
      <c r="AO70" s="605"/>
      <c r="AP70" s="605"/>
      <c r="AQ70" s="605"/>
      <c r="AR70" s="605"/>
      <c r="AS70" s="605"/>
      <c r="AT70" s="597"/>
      <c r="AU70" s="597"/>
      <c r="AV70" s="597"/>
      <c r="AW70" s="1312"/>
      <c r="AX70" s="1312"/>
      <c r="AY70" s="1312"/>
      <c r="AZ70" s="1313"/>
      <c r="BA70" s="1313"/>
      <c r="BB70" s="1314"/>
      <c r="BC70" s="1314"/>
      <c r="BD70" s="1314"/>
      <c r="BE70" s="1314"/>
      <c r="BF70" s="1314"/>
      <c r="BG70" s="1315"/>
      <c r="BH70" s="1315"/>
      <c r="BI70" s="1315"/>
      <c r="BJ70" s="597"/>
      <c r="BK70" s="597"/>
      <c r="BL70" s="597"/>
      <c r="BM70" s="597"/>
      <c r="BN70" s="597"/>
      <c r="BO70" s="597"/>
      <c r="BP70" s="597"/>
      <c r="BQ70" s="597"/>
      <c r="BR70" s="597"/>
      <c r="BS70" s="597"/>
      <c r="BT70" s="597"/>
      <c r="BU70" s="597"/>
      <c r="BV70" s="597"/>
    </row>
    <row r="71" spans="24:74" ht="20.399999999999999">
      <c r="X71" s="599"/>
      <c r="Y71" s="599"/>
      <c r="Z71" s="352"/>
      <c r="AA71" s="352"/>
      <c r="AB71" s="352"/>
      <c r="AC71" s="352"/>
      <c r="AD71" s="352"/>
      <c r="AE71" s="352"/>
      <c r="AF71" s="352"/>
      <c r="AG71" s="352"/>
      <c r="AH71" s="352"/>
      <c r="AI71" s="605"/>
      <c r="AJ71" s="605"/>
      <c r="AK71" s="605"/>
      <c r="AL71" s="605"/>
      <c r="AM71" s="605"/>
      <c r="AN71" s="605"/>
      <c r="AO71" s="605"/>
      <c r="AP71" s="605"/>
      <c r="AQ71" s="605"/>
      <c r="AR71" s="605"/>
      <c r="AS71" s="605"/>
      <c r="AT71" s="597"/>
      <c r="AU71" s="597"/>
      <c r="AV71" s="597"/>
      <c r="AW71" s="1312"/>
      <c r="AX71" s="1312"/>
      <c r="AY71" s="1312"/>
      <c r="AZ71" s="1313"/>
      <c r="BA71" s="1313"/>
      <c r="BB71" s="1314"/>
      <c r="BC71" s="1314"/>
      <c r="BD71" s="1314"/>
      <c r="BE71" s="1314"/>
      <c r="BF71" s="1314"/>
      <c r="BG71" s="1315"/>
      <c r="BH71" s="1315"/>
      <c r="BI71" s="1315"/>
      <c r="BJ71" s="597"/>
      <c r="BK71" s="597"/>
      <c r="BL71" s="597"/>
      <c r="BM71" s="597"/>
      <c r="BN71" s="597"/>
      <c r="BO71" s="597"/>
      <c r="BP71" s="597"/>
      <c r="BQ71" s="597"/>
      <c r="BR71" s="597"/>
      <c r="BS71" s="597"/>
      <c r="BT71" s="597"/>
      <c r="BU71" s="597"/>
      <c r="BV71" s="597"/>
    </row>
    <row r="72" spans="24:74" ht="20.399999999999999">
      <c r="X72" s="599"/>
      <c r="Y72" s="599"/>
      <c r="Z72" s="352"/>
      <c r="AA72" s="352"/>
      <c r="AB72" s="352"/>
      <c r="AC72" s="352"/>
      <c r="AD72" s="352"/>
      <c r="AE72" s="352"/>
      <c r="AF72" s="352"/>
      <c r="AG72" s="352"/>
      <c r="AH72" s="352"/>
      <c r="AI72" s="605"/>
      <c r="AJ72" s="605"/>
      <c r="AK72" s="605"/>
      <c r="AL72" s="605"/>
      <c r="AM72" s="605"/>
      <c r="AN72" s="605"/>
      <c r="AO72" s="605"/>
      <c r="AP72" s="605"/>
      <c r="AQ72" s="605"/>
      <c r="AR72" s="605"/>
      <c r="AS72" s="605"/>
      <c r="AT72" s="597"/>
      <c r="AU72" s="597"/>
      <c r="AV72" s="597"/>
      <c r="AW72" s="1312"/>
      <c r="AX72" s="1312"/>
      <c r="AY72" s="1312"/>
      <c r="AZ72" s="1313"/>
      <c r="BA72" s="1313"/>
      <c r="BB72" s="1314"/>
      <c r="BC72" s="1314"/>
      <c r="BD72" s="1314"/>
      <c r="BE72" s="1314"/>
      <c r="BF72" s="1314"/>
      <c r="BG72" s="1315"/>
      <c r="BH72" s="1315"/>
      <c r="BI72" s="1315"/>
      <c r="BJ72" s="597"/>
      <c r="BK72" s="597"/>
      <c r="BL72" s="597"/>
      <c r="BM72" s="597"/>
      <c r="BN72" s="597"/>
      <c r="BO72" s="597"/>
      <c r="BP72" s="597"/>
      <c r="BQ72" s="597"/>
      <c r="BR72" s="597"/>
      <c r="BS72" s="597"/>
      <c r="BT72" s="597"/>
      <c r="BU72" s="597"/>
      <c r="BV72" s="597"/>
    </row>
    <row r="73" spans="24:74" ht="30" customHeight="1">
      <c r="X73" s="599"/>
      <c r="Y73" s="599"/>
      <c r="Z73" s="352"/>
      <c r="AA73" s="352"/>
      <c r="AB73" s="352"/>
      <c r="AC73" s="352"/>
      <c r="AD73" s="352"/>
      <c r="AE73" s="352"/>
      <c r="AF73" s="352"/>
      <c r="AG73" s="352"/>
      <c r="AH73" s="352"/>
      <c r="AI73" s="605"/>
      <c r="AJ73" s="605"/>
      <c r="AK73" s="605"/>
      <c r="AL73" s="605"/>
      <c r="AM73" s="605"/>
      <c r="AN73" s="605"/>
      <c r="AO73" s="605"/>
      <c r="AP73" s="605"/>
      <c r="AQ73" s="605"/>
      <c r="AR73" s="605"/>
      <c r="AS73" s="605"/>
      <c r="AT73" s="597"/>
      <c r="AU73" s="597"/>
      <c r="AV73" s="597"/>
      <c r="AW73" s="1312"/>
      <c r="AX73" s="1312"/>
      <c r="AY73" s="1312"/>
      <c r="AZ73" s="1313"/>
      <c r="BA73" s="1313"/>
      <c r="BB73" s="1314"/>
      <c r="BC73" s="1314"/>
      <c r="BD73" s="1314"/>
      <c r="BE73" s="1314"/>
      <c r="BF73" s="1314"/>
      <c r="BG73" s="1315"/>
      <c r="BH73" s="1315"/>
      <c r="BI73" s="1315"/>
      <c r="BJ73" s="597"/>
      <c r="BK73" s="597"/>
      <c r="BL73" s="597"/>
      <c r="BM73" s="597"/>
      <c r="BN73" s="597"/>
      <c r="BO73" s="597"/>
      <c r="BP73" s="597"/>
      <c r="BQ73" s="597"/>
      <c r="BR73" s="597"/>
      <c r="BS73" s="597"/>
      <c r="BT73" s="597"/>
      <c r="BU73" s="597"/>
      <c r="BV73" s="597"/>
    </row>
    <row r="74" spans="24:74" ht="30" customHeight="1">
      <c r="X74" s="599"/>
      <c r="Y74" s="599"/>
      <c r="Z74" s="353"/>
      <c r="AA74" s="353"/>
      <c r="AB74" s="353"/>
      <c r="AC74" s="605"/>
      <c r="AD74" s="605"/>
      <c r="AE74" s="605"/>
      <c r="AF74" s="605"/>
      <c r="AG74" s="605"/>
      <c r="AH74" s="605"/>
      <c r="AI74" s="605"/>
      <c r="AJ74" s="605"/>
      <c r="AK74" s="605"/>
      <c r="AL74" s="605"/>
      <c r="AM74" s="605"/>
      <c r="AN74" s="605"/>
      <c r="AO74" s="605"/>
      <c r="AP74" s="605"/>
      <c r="AQ74" s="605"/>
      <c r="AR74" s="605"/>
      <c r="AS74" s="605"/>
      <c r="AT74" s="597"/>
      <c r="AU74" s="597"/>
      <c r="AV74" s="597"/>
      <c r="AW74" s="1312"/>
      <c r="AX74" s="1312"/>
      <c r="AY74" s="1312"/>
      <c r="AZ74" s="1313"/>
      <c r="BA74" s="1313"/>
      <c r="BB74" s="1314"/>
      <c r="BC74" s="1314"/>
      <c r="BD74" s="1314"/>
      <c r="BE74" s="1314"/>
      <c r="BF74" s="1314"/>
      <c r="BG74" s="1315"/>
      <c r="BH74" s="1315"/>
      <c r="BI74" s="1315"/>
      <c r="BJ74" s="597"/>
      <c r="BK74" s="597"/>
      <c r="BL74" s="597"/>
      <c r="BM74" s="597"/>
      <c r="BN74" s="597"/>
      <c r="BO74" s="597"/>
      <c r="BP74" s="597"/>
      <c r="BQ74" s="597"/>
      <c r="BR74" s="597"/>
      <c r="BS74" s="597"/>
      <c r="BT74" s="597"/>
      <c r="BU74" s="597"/>
      <c r="BV74" s="597"/>
    </row>
    <row r="75" spans="24:74" ht="30" customHeight="1">
      <c r="X75" s="599"/>
      <c r="Y75" s="599"/>
      <c r="Z75" s="353"/>
      <c r="AA75" s="353"/>
      <c r="AB75" s="353"/>
      <c r="AC75" s="605"/>
      <c r="AD75" s="605"/>
      <c r="AE75" s="605"/>
      <c r="AF75" s="605"/>
      <c r="AG75" s="605"/>
      <c r="AH75" s="605"/>
      <c r="AI75" s="605"/>
      <c r="AJ75" s="605"/>
      <c r="AK75" s="605"/>
      <c r="AL75" s="605"/>
      <c r="AM75" s="605"/>
      <c r="AN75" s="605"/>
      <c r="AO75" s="605"/>
      <c r="AP75" s="605"/>
      <c r="AQ75" s="605"/>
      <c r="AR75" s="605"/>
      <c r="AS75" s="605"/>
      <c r="AT75" s="597"/>
      <c r="AU75" s="597"/>
      <c r="AV75" s="597"/>
      <c r="AW75" s="597"/>
      <c r="AX75" s="597"/>
      <c r="AY75" s="597"/>
      <c r="AZ75" s="597"/>
      <c r="BA75" s="597"/>
      <c r="BB75" s="597"/>
      <c r="BC75" s="597"/>
      <c r="BD75" s="597"/>
      <c r="BE75" s="597"/>
      <c r="BF75" s="597"/>
      <c r="BG75" s="597"/>
      <c r="BH75" s="597"/>
      <c r="BI75" s="597"/>
      <c r="BJ75" s="597"/>
      <c r="BK75" s="597"/>
      <c r="BL75" s="597"/>
      <c r="BM75" s="597"/>
      <c r="BN75" s="597"/>
      <c r="BO75" s="597"/>
      <c r="BP75" s="597"/>
      <c r="BQ75" s="597"/>
      <c r="BR75" s="597"/>
      <c r="BS75" s="597"/>
      <c r="BT75" s="597"/>
      <c r="BU75" s="597"/>
      <c r="BV75" s="597"/>
    </row>
    <row r="76" spans="24:74" ht="30" customHeight="1">
      <c r="X76" s="599"/>
      <c r="Y76" s="599"/>
      <c r="Z76" s="353"/>
      <c r="AA76" s="353"/>
      <c r="AB76" s="353"/>
      <c r="AC76" s="605"/>
      <c r="AD76" s="605"/>
      <c r="AE76" s="605"/>
      <c r="AF76" s="605"/>
      <c r="AG76" s="605"/>
      <c r="AH76" s="605"/>
      <c r="AI76" s="605"/>
      <c r="AJ76" s="605"/>
      <c r="AK76" s="605"/>
      <c r="AL76" s="605"/>
      <c r="AM76" s="605"/>
      <c r="AN76" s="605"/>
      <c r="AO76" s="605"/>
      <c r="AP76" s="605"/>
      <c r="AQ76" s="605"/>
      <c r="AR76" s="605"/>
      <c r="AS76" s="605"/>
      <c r="AT76" s="597"/>
      <c r="AU76" s="597"/>
      <c r="AV76" s="597"/>
      <c r="AW76" s="597"/>
      <c r="AX76" s="597"/>
      <c r="AY76" s="597"/>
      <c r="AZ76" s="597"/>
      <c r="BA76" s="597"/>
      <c r="BB76" s="597"/>
      <c r="BC76" s="597"/>
      <c r="BD76" s="597"/>
      <c r="BE76" s="597"/>
      <c r="BF76" s="597"/>
      <c r="BG76" s="597"/>
      <c r="BH76" s="597"/>
      <c r="BI76" s="597"/>
      <c r="BJ76" s="597"/>
      <c r="BK76" s="597"/>
      <c r="BL76" s="597"/>
      <c r="BM76" s="597"/>
      <c r="BN76" s="597"/>
      <c r="BO76" s="597"/>
      <c r="BP76" s="597"/>
      <c r="BQ76" s="597"/>
      <c r="BR76" s="597"/>
      <c r="BS76" s="597"/>
      <c r="BT76" s="597"/>
      <c r="BU76" s="597"/>
      <c r="BV76" s="597"/>
    </row>
    <row r="77" spans="24:74" ht="30" customHeight="1">
      <c r="X77" s="599"/>
      <c r="Y77" s="599"/>
      <c r="Z77" s="353"/>
      <c r="AA77" s="353"/>
      <c r="AB77" s="353"/>
      <c r="AC77" s="605"/>
      <c r="AD77" s="605"/>
      <c r="AE77" s="605"/>
      <c r="AF77" s="605"/>
      <c r="AG77" s="605"/>
      <c r="AH77" s="605"/>
      <c r="AI77" s="605"/>
      <c r="AJ77" s="605"/>
      <c r="AK77" s="605"/>
      <c r="AL77" s="605"/>
      <c r="AM77" s="605"/>
      <c r="AN77" s="605"/>
      <c r="AO77" s="605"/>
      <c r="AP77" s="605"/>
      <c r="AQ77" s="605"/>
      <c r="AR77" s="605"/>
      <c r="AS77" s="605"/>
      <c r="AT77" s="597"/>
      <c r="AU77" s="597"/>
      <c r="AV77" s="597"/>
      <c r="AW77" s="597"/>
      <c r="AX77" s="597"/>
      <c r="AY77" s="597"/>
      <c r="AZ77" s="597"/>
      <c r="BA77" s="597"/>
      <c r="BB77" s="597"/>
      <c r="BC77" s="597"/>
      <c r="BD77" s="597"/>
      <c r="BE77" s="597"/>
      <c r="BF77" s="597"/>
      <c r="BG77" s="597"/>
      <c r="BH77" s="597"/>
      <c r="BI77" s="597"/>
      <c r="BJ77" s="597"/>
      <c r="BK77" s="597"/>
      <c r="BL77" s="597"/>
      <c r="BM77" s="597"/>
      <c r="BN77" s="597"/>
      <c r="BO77" s="597"/>
      <c r="BP77" s="597"/>
      <c r="BQ77" s="597"/>
      <c r="BR77" s="597"/>
      <c r="BS77" s="597"/>
      <c r="BT77" s="597"/>
      <c r="BU77" s="597"/>
      <c r="BV77" s="597"/>
    </row>
    <row r="78" spans="24:74">
      <c r="X78" s="599"/>
      <c r="Y78" s="599"/>
      <c r="Z78" s="599"/>
      <c r="AA78" s="599"/>
      <c r="AB78" s="599"/>
      <c r="AC78" s="599"/>
      <c r="AD78" s="599"/>
      <c r="AE78" s="599"/>
      <c r="AF78" s="599"/>
      <c r="AG78" s="599"/>
      <c r="AH78" s="600"/>
      <c r="AI78" s="600"/>
      <c r="AJ78" s="600"/>
      <c r="AK78" s="600"/>
      <c r="AL78" s="600"/>
      <c r="AM78" s="600"/>
      <c r="AN78" s="600"/>
      <c r="AO78" s="600"/>
      <c r="AP78" s="600"/>
      <c r="AQ78" s="600"/>
      <c r="AR78" s="600"/>
      <c r="AS78" s="600"/>
      <c r="AT78" s="597"/>
      <c r="AU78" s="597"/>
      <c r="AV78" s="597"/>
      <c r="AW78" s="597"/>
      <c r="AX78" s="597"/>
      <c r="AY78" s="597"/>
      <c r="AZ78" s="597"/>
      <c r="BA78" s="597"/>
      <c r="BB78" s="597"/>
      <c r="BC78" s="597"/>
      <c r="BD78" s="597"/>
      <c r="BE78" s="597"/>
      <c r="BF78" s="597"/>
      <c r="BG78" s="597"/>
      <c r="BH78" s="597"/>
      <c r="BI78" s="597"/>
      <c r="BJ78" s="597"/>
      <c r="BK78" s="597"/>
      <c r="BL78" s="597"/>
      <c r="BM78" s="597"/>
      <c r="BN78" s="597"/>
      <c r="BO78" s="597"/>
      <c r="BP78" s="597"/>
      <c r="BQ78" s="597"/>
      <c r="BR78" s="597"/>
      <c r="BS78" s="597"/>
      <c r="BT78" s="597"/>
      <c r="BU78" s="597"/>
      <c r="BV78" s="597"/>
    </row>
    <row r="79" spans="24:74">
      <c r="X79" s="599"/>
      <c r="Y79" s="599"/>
      <c r="Z79" s="599"/>
      <c r="AA79" s="599"/>
      <c r="AB79" s="599"/>
      <c r="AC79" s="599"/>
      <c r="AD79" s="599"/>
      <c r="AE79" s="599"/>
      <c r="AF79" s="599"/>
      <c r="AG79" s="599"/>
      <c r="AH79" s="600"/>
      <c r="AI79" s="600"/>
      <c r="AJ79" s="600"/>
      <c r="AK79" s="600"/>
      <c r="AL79" s="600"/>
      <c r="AM79" s="600"/>
      <c r="AN79" s="600"/>
      <c r="AO79" s="600"/>
      <c r="AP79" s="600"/>
      <c r="AQ79" s="600"/>
      <c r="AR79" s="600"/>
      <c r="AS79" s="600"/>
      <c r="AT79" s="597"/>
      <c r="AU79" s="597"/>
      <c r="AV79" s="597"/>
      <c r="AW79" s="597"/>
      <c r="AX79" s="597"/>
      <c r="AY79" s="597"/>
      <c r="AZ79" s="597"/>
      <c r="BA79" s="597"/>
      <c r="BB79" s="597"/>
      <c r="BC79" s="597"/>
      <c r="BD79" s="597"/>
      <c r="BE79" s="597"/>
      <c r="BF79" s="597"/>
      <c r="BG79" s="597"/>
      <c r="BH79" s="597"/>
      <c r="BI79" s="597"/>
      <c r="BJ79" s="597"/>
      <c r="BK79" s="597"/>
      <c r="BL79" s="597"/>
      <c r="BM79" s="597"/>
      <c r="BN79" s="597"/>
      <c r="BO79" s="597"/>
      <c r="BP79" s="597"/>
      <c r="BQ79" s="597"/>
      <c r="BR79" s="597"/>
      <c r="BS79" s="597"/>
      <c r="BT79" s="597"/>
      <c r="BU79" s="597"/>
      <c r="BV79" s="597"/>
    </row>
    <row r="80" spans="24:74">
      <c r="X80" s="599"/>
      <c r="Y80" s="599"/>
      <c r="Z80" s="599"/>
      <c r="AA80" s="599"/>
      <c r="AB80" s="599"/>
      <c r="AC80" s="599"/>
      <c r="AD80" s="599"/>
      <c r="AE80" s="599"/>
      <c r="AF80" s="599"/>
      <c r="AG80" s="599"/>
      <c r="AH80" s="600"/>
      <c r="AI80" s="600"/>
      <c r="AJ80" s="600"/>
      <c r="AK80" s="600"/>
      <c r="AL80" s="600"/>
      <c r="AM80" s="600"/>
      <c r="AN80" s="600"/>
      <c r="AO80" s="600"/>
      <c r="AP80" s="600"/>
      <c r="AQ80" s="600"/>
      <c r="AR80" s="600"/>
      <c r="AS80" s="600"/>
      <c r="AT80" s="597"/>
      <c r="AU80" s="597"/>
      <c r="AV80" s="597"/>
      <c r="AW80" s="597"/>
      <c r="AX80" s="597"/>
      <c r="AY80" s="597"/>
      <c r="AZ80" s="597"/>
      <c r="BA80" s="597"/>
      <c r="BB80" s="597"/>
      <c r="BC80" s="597"/>
      <c r="BD80" s="597"/>
      <c r="BE80" s="597"/>
      <c r="BF80" s="597"/>
      <c r="BG80" s="597"/>
      <c r="BH80" s="597"/>
      <c r="BI80" s="597"/>
      <c r="BJ80" s="597"/>
      <c r="BK80" s="597"/>
      <c r="BL80" s="597"/>
      <c r="BM80" s="597"/>
      <c r="BN80" s="597"/>
      <c r="BO80" s="597"/>
      <c r="BP80" s="597"/>
      <c r="BQ80" s="597"/>
      <c r="BR80" s="597"/>
      <c r="BS80" s="597"/>
      <c r="BT80" s="597"/>
      <c r="BU80" s="597"/>
      <c r="BV80" s="597"/>
    </row>
    <row r="81" spans="24:74">
      <c r="X81" s="599"/>
      <c r="Y81" s="599"/>
      <c r="Z81" s="599"/>
      <c r="AA81" s="599"/>
      <c r="AB81" s="599"/>
      <c r="AC81" s="599"/>
      <c r="AD81" s="599"/>
      <c r="AE81" s="599"/>
      <c r="AF81" s="599"/>
      <c r="AG81" s="599"/>
      <c r="AH81" s="600"/>
      <c r="AI81" s="600"/>
      <c r="AJ81" s="600"/>
      <c r="AK81" s="600"/>
      <c r="AL81" s="600"/>
      <c r="AM81" s="600"/>
      <c r="AN81" s="600"/>
      <c r="AO81" s="600"/>
      <c r="AP81" s="600"/>
      <c r="AQ81" s="600"/>
      <c r="AR81" s="600"/>
      <c r="AS81" s="600"/>
      <c r="AT81" s="597"/>
      <c r="AU81" s="597"/>
      <c r="AV81" s="597"/>
      <c r="AW81" s="597"/>
      <c r="AX81" s="597"/>
      <c r="AY81" s="597"/>
      <c r="AZ81" s="597"/>
      <c r="BA81" s="597"/>
      <c r="BB81" s="597"/>
      <c r="BC81" s="597"/>
      <c r="BD81" s="597"/>
      <c r="BE81" s="597"/>
      <c r="BF81" s="597"/>
      <c r="BG81" s="597"/>
      <c r="BH81" s="597"/>
      <c r="BI81" s="597"/>
      <c r="BJ81" s="597"/>
      <c r="BK81" s="597"/>
      <c r="BL81" s="597"/>
      <c r="BM81" s="597"/>
      <c r="BN81" s="597"/>
      <c r="BO81" s="597"/>
      <c r="BP81" s="597"/>
      <c r="BQ81" s="597"/>
      <c r="BR81" s="597"/>
      <c r="BS81" s="597"/>
      <c r="BT81" s="597"/>
      <c r="BU81" s="597"/>
      <c r="BV81" s="597"/>
    </row>
    <row r="82" spans="24:74">
      <c r="X82" s="599"/>
      <c r="Y82" s="599"/>
      <c r="Z82" s="599"/>
      <c r="AA82" s="599"/>
      <c r="AB82" s="599"/>
      <c r="AC82" s="599"/>
      <c r="AD82" s="599"/>
      <c r="AE82" s="599"/>
      <c r="AF82" s="599"/>
      <c r="AG82" s="599"/>
      <c r="AH82" s="600"/>
      <c r="AI82" s="600"/>
      <c r="AJ82" s="600"/>
      <c r="AK82" s="600"/>
      <c r="AL82" s="600"/>
      <c r="AM82" s="600"/>
      <c r="AN82" s="600"/>
      <c r="AO82" s="600"/>
      <c r="AP82" s="600"/>
      <c r="AQ82" s="600"/>
      <c r="AR82" s="600"/>
      <c r="AS82" s="600"/>
      <c r="AT82" s="597"/>
      <c r="AU82" s="597"/>
      <c r="AV82" s="597"/>
      <c r="AW82" s="597"/>
      <c r="AX82" s="597"/>
      <c r="AY82" s="597"/>
      <c r="AZ82" s="597"/>
      <c r="BA82" s="597"/>
      <c r="BB82" s="597"/>
      <c r="BC82" s="597"/>
      <c r="BD82" s="597"/>
      <c r="BE82" s="597"/>
      <c r="BF82" s="597"/>
      <c r="BG82" s="597"/>
      <c r="BH82" s="597"/>
      <c r="BI82" s="597"/>
      <c r="BJ82" s="597"/>
      <c r="BK82" s="597"/>
      <c r="BL82" s="597"/>
      <c r="BM82" s="597"/>
      <c r="BN82" s="597"/>
      <c r="BO82" s="597"/>
      <c r="BP82" s="597"/>
      <c r="BQ82" s="597"/>
      <c r="BR82" s="597"/>
      <c r="BS82" s="597"/>
      <c r="BT82" s="597"/>
      <c r="BU82" s="597"/>
      <c r="BV82" s="597"/>
    </row>
    <row r="83" spans="24:74">
      <c r="X83" s="599"/>
      <c r="Y83" s="599"/>
      <c r="Z83" s="599"/>
      <c r="AA83" s="599"/>
      <c r="AB83" s="599"/>
      <c r="AC83" s="599"/>
      <c r="AD83" s="599"/>
      <c r="AE83" s="599"/>
      <c r="AF83" s="599"/>
      <c r="AG83" s="599"/>
      <c r="AH83" s="600"/>
      <c r="AI83" s="600"/>
      <c r="AJ83" s="600"/>
      <c r="AK83" s="600"/>
      <c r="AL83" s="600"/>
      <c r="AM83" s="600"/>
      <c r="AN83" s="600"/>
      <c r="AO83" s="600"/>
      <c r="AP83" s="600"/>
      <c r="AQ83" s="600"/>
      <c r="AR83" s="600"/>
      <c r="AS83" s="600"/>
      <c r="AT83" s="597"/>
      <c r="AU83" s="597"/>
      <c r="AV83" s="597"/>
      <c r="AW83" s="597"/>
      <c r="AX83" s="597"/>
      <c r="AY83" s="597"/>
      <c r="AZ83" s="597"/>
      <c r="BA83" s="597"/>
      <c r="BB83" s="597"/>
      <c r="BC83" s="597"/>
      <c r="BD83" s="597"/>
      <c r="BE83" s="597"/>
      <c r="BF83" s="597"/>
      <c r="BG83" s="597"/>
      <c r="BH83" s="597"/>
      <c r="BI83" s="597"/>
      <c r="BJ83" s="597"/>
      <c r="BK83" s="597"/>
      <c r="BL83" s="597"/>
      <c r="BM83" s="597"/>
      <c r="BN83" s="597"/>
      <c r="BO83" s="597"/>
      <c r="BP83" s="597"/>
      <c r="BQ83" s="597"/>
      <c r="BR83" s="597"/>
      <c r="BS83" s="597"/>
      <c r="BT83" s="597"/>
      <c r="BU83" s="597"/>
      <c r="BV83" s="597"/>
    </row>
    <row r="84" spans="24:74">
      <c r="X84" s="599"/>
      <c r="Y84" s="599"/>
      <c r="Z84" s="599"/>
      <c r="AA84" s="599"/>
      <c r="AB84" s="599"/>
      <c r="AC84" s="599"/>
      <c r="AD84" s="599"/>
      <c r="AE84" s="599"/>
      <c r="AF84" s="599"/>
      <c r="AG84" s="599"/>
      <c r="AH84" s="600"/>
      <c r="AI84" s="600"/>
      <c r="AJ84" s="600"/>
      <c r="AK84" s="600"/>
      <c r="AL84" s="600"/>
      <c r="AM84" s="600"/>
      <c r="AN84" s="600"/>
      <c r="AO84" s="600"/>
      <c r="AP84" s="600"/>
      <c r="AQ84" s="600"/>
      <c r="AR84" s="600"/>
      <c r="AS84" s="600"/>
      <c r="AT84" s="597"/>
      <c r="AU84" s="597"/>
      <c r="AV84" s="597"/>
      <c r="AW84" s="597"/>
      <c r="AX84" s="597"/>
      <c r="AY84" s="597"/>
      <c r="AZ84" s="597"/>
      <c r="BA84" s="597"/>
      <c r="BB84" s="597"/>
      <c r="BC84" s="597"/>
      <c r="BD84" s="597"/>
      <c r="BE84" s="597"/>
      <c r="BF84" s="597"/>
      <c r="BG84" s="597"/>
      <c r="BH84" s="597"/>
      <c r="BI84" s="597"/>
      <c r="BJ84" s="597"/>
      <c r="BK84" s="597"/>
      <c r="BL84" s="597"/>
      <c r="BM84" s="597"/>
      <c r="BN84" s="597"/>
      <c r="BO84" s="597"/>
      <c r="BP84" s="597"/>
      <c r="BQ84" s="597"/>
      <c r="BR84" s="597"/>
      <c r="BS84" s="597"/>
      <c r="BT84" s="597"/>
      <c r="BU84" s="597"/>
      <c r="BV84" s="597"/>
    </row>
    <row r="85" spans="24:74">
      <c r="X85" s="599"/>
      <c r="Y85" s="599"/>
      <c r="Z85" s="599"/>
      <c r="AA85" s="599"/>
      <c r="AB85" s="599"/>
      <c r="AC85" s="599"/>
      <c r="AD85" s="599"/>
      <c r="AE85" s="599"/>
      <c r="AF85" s="599"/>
      <c r="AG85" s="599"/>
      <c r="AH85" s="600"/>
      <c r="AI85" s="600"/>
      <c r="AJ85" s="600"/>
      <c r="AK85" s="600"/>
      <c r="AL85" s="600"/>
      <c r="AM85" s="600"/>
      <c r="AN85" s="600"/>
      <c r="AO85" s="600"/>
      <c r="AP85" s="600"/>
      <c r="AQ85" s="600"/>
      <c r="AR85" s="600"/>
      <c r="AS85" s="600"/>
      <c r="AT85" s="597"/>
      <c r="AU85" s="597"/>
      <c r="AV85" s="597"/>
      <c r="AW85" s="597"/>
      <c r="AX85" s="597"/>
      <c r="AY85" s="597"/>
      <c r="AZ85" s="597"/>
      <c r="BA85" s="597"/>
      <c r="BB85" s="597"/>
      <c r="BC85" s="597"/>
      <c r="BD85" s="597"/>
      <c r="BE85" s="597"/>
      <c r="BF85" s="597"/>
      <c r="BG85" s="597"/>
      <c r="BH85" s="597"/>
      <c r="BI85" s="597"/>
      <c r="BJ85" s="597"/>
      <c r="BK85" s="597"/>
      <c r="BL85" s="597"/>
      <c r="BM85" s="597"/>
      <c r="BN85" s="597"/>
      <c r="BO85" s="597"/>
      <c r="BP85" s="597"/>
      <c r="BQ85" s="597"/>
      <c r="BR85" s="597"/>
      <c r="BS85" s="597"/>
      <c r="BT85" s="597"/>
      <c r="BU85" s="597"/>
      <c r="BV85" s="597"/>
    </row>
    <row r="86" spans="24:74">
      <c r="X86" s="599"/>
      <c r="Y86" s="599"/>
      <c r="Z86" s="599"/>
      <c r="AA86" s="599"/>
      <c r="AB86" s="599"/>
      <c r="AC86" s="599"/>
      <c r="AD86" s="599"/>
      <c r="AE86" s="599"/>
      <c r="AF86" s="599"/>
      <c r="AG86" s="599"/>
      <c r="AH86" s="600"/>
      <c r="AI86" s="600"/>
      <c r="AJ86" s="600"/>
      <c r="AK86" s="600"/>
      <c r="AL86" s="600"/>
      <c r="AM86" s="600"/>
      <c r="AN86" s="600"/>
      <c r="AO86" s="600"/>
      <c r="AP86" s="600"/>
      <c r="AQ86" s="600"/>
      <c r="AR86" s="600"/>
      <c r="AS86" s="600"/>
      <c r="AT86" s="597"/>
      <c r="AU86" s="597"/>
      <c r="AV86" s="597"/>
      <c r="AW86" s="597"/>
      <c r="AX86" s="597"/>
      <c r="AY86" s="597"/>
      <c r="AZ86" s="597"/>
      <c r="BA86" s="597"/>
      <c r="BB86" s="597"/>
      <c r="BC86" s="597"/>
      <c r="BD86" s="597"/>
      <c r="BE86" s="597"/>
      <c r="BF86" s="597"/>
      <c r="BG86" s="597"/>
      <c r="BH86" s="597"/>
      <c r="BI86" s="597"/>
      <c r="BJ86" s="597"/>
      <c r="BK86" s="597"/>
      <c r="BL86" s="597"/>
      <c r="BM86" s="597"/>
      <c r="BN86" s="597"/>
      <c r="BO86" s="597"/>
      <c r="BP86" s="597"/>
      <c r="BQ86" s="597"/>
      <c r="BR86" s="597"/>
      <c r="BS86" s="597"/>
      <c r="BT86" s="597"/>
      <c r="BU86" s="597"/>
      <c r="BV86" s="597"/>
    </row>
    <row r="87" spans="24:74">
      <c r="X87" s="599"/>
      <c r="Y87" s="599"/>
      <c r="Z87" s="599"/>
      <c r="AA87" s="599"/>
      <c r="AB87" s="599"/>
      <c r="AC87" s="599"/>
      <c r="AD87" s="599"/>
      <c r="AE87" s="599"/>
      <c r="AF87" s="599"/>
      <c r="AG87" s="599"/>
      <c r="AH87" s="600"/>
      <c r="AI87" s="600"/>
      <c r="AJ87" s="600"/>
      <c r="AK87" s="600"/>
      <c r="AL87" s="600"/>
      <c r="AM87" s="600"/>
      <c r="AN87" s="600"/>
      <c r="AO87" s="600"/>
      <c r="AP87" s="600"/>
      <c r="AQ87" s="600"/>
      <c r="AR87" s="600"/>
      <c r="AS87" s="600"/>
      <c r="AT87" s="597"/>
      <c r="AU87" s="597"/>
      <c r="AV87" s="597"/>
      <c r="AW87" s="597"/>
      <c r="AX87" s="597"/>
      <c r="AY87" s="597"/>
      <c r="AZ87" s="597"/>
      <c r="BA87" s="597"/>
      <c r="BB87" s="597"/>
      <c r="BC87" s="597"/>
      <c r="BD87" s="597"/>
      <c r="BE87" s="597"/>
      <c r="BF87" s="597"/>
      <c r="BG87" s="597"/>
      <c r="BH87" s="597"/>
      <c r="BI87" s="597"/>
      <c r="BJ87" s="597"/>
      <c r="BK87" s="597"/>
      <c r="BL87" s="597"/>
      <c r="BM87" s="597"/>
      <c r="BN87" s="597"/>
      <c r="BO87" s="597"/>
      <c r="BP87" s="597"/>
      <c r="BQ87" s="597"/>
      <c r="BR87" s="597"/>
      <c r="BS87" s="597"/>
      <c r="BT87" s="597"/>
      <c r="BU87" s="597"/>
      <c r="BV87" s="597"/>
    </row>
    <row r="88" spans="24:74">
      <c r="X88" s="599"/>
      <c r="Y88" s="599"/>
      <c r="Z88" s="599"/>
      <c r="AA88" s="599"/>
      <c r="AB88" s="599"/>
      <c r="AC88" s="599"/>
      <c r="AD88" s="599"/>
      <c r="AE88" s="599"/>
      <c r="AF88" s="599"/>
      <c r="AG88" s="599"/>
      <c r="AH88" s="600"/>
      <c r="AI88" s="600"/>
      <c r="AJ88" s="600"/>
      <c r="AK88" s="600"/>
      <c r="AL88" s="600"/>
      <c r="AM88" s="600"/>
      <c r="AN88" s="600"/>
      <c r="AO88" s="600"/>
      <c r="AP88" s="600"/>
      <c r="AQ88" s="600"/>
      <c r="AR88" s="600"/>
      <c r="AS88" s="600"/>
      <c r="AT88" s="597"/>
      <c r="AU88" s="597"/>
      <c r="AV88" s="597"/>
      <c r="AW88" s="597"/>
      <c r="AX88" s="597"/>
      <c r="AY88" s="597"/>
      <c r="AZ88" s="597"/>
      <c r="BA88" s="597"/>
      <c r="BB88" s="597"/>
      <c r="BC88" s="597"/>
      <c r="BD88" s="597"/>
      <c r="BE88" s="597"/>
      <c r="BF88" s="597"/>
      <c r="BG88" s="597"/>
      <c r="BH88" s="597"/>
      <c r="BI88" s="597"/>
      <c r="BJ88" s="597"/>
      <c r="BK88" s="597"/>
      <c r="BL88" s="597"/>
      <c r="BM88" s="597"/>
      <c r="BN88" s="597"/>
      <c r="BO88" s="597"/>
      <c r="BP88" s="597"/>
      <c r="BQ88" s="597"/>
      <c r="BR88" s="597"/>
      <c r="BS88" s="597"/>
      <c r="BT88" s="597"/>
      <c r="BU88" s="597"/>
      <c r="BV88" s="597"/>
    </row>
    <row r="89" spans="24:74">
      <c r="X89" s="599"/>
      <c r="Y89" s="599"/>
      <c r="Z89" s="599"/>
      <c r="AA89" s="599"/>
      <c r="AB89" s="599"/>
      <c r="AC89" s="599"/>
      <c r="AD89" s="599"/>
      <c r="AE89" s="599"/>
      <c r="AF89" s="599"/>
      <c r="AG89" s="599"/>
      <c r="AH89" s="600"/>
      <c r="AI89" s="600"/>
      <c r="AJ89" s="600"/>
      <c r="AK89" s="600"/>
      <c r="AL89" s="600"/>
      <c r="AM89" s="600"/>
      <c r="AN89" s="600"/>
      <c r="AO89" s="600"/>
      <c r="AP89" s="600"/>
      <c r="AQ89" s="600"/>
      <c r="AR89" s="600"/>
      <c r="AS89" s="600"/>
      <c r="AT89" s="597"/>
      <c r="AU89" s="597"/>
      <c r="AV89" s="597"/>
      <c r="AW89" s="597"/>
      <c r="AX89" s="597"/>
      <c r="AY89" s="597"/>
      <c r="AZ89" s="597"/>
      <c r="BA89" s="597"/>
      <c r="BB89" s="597"/>
      <c r="BC89" s="597"/>
      <c r="BD89" s="597"/>
      <c r="BE89" s="597"/>
      <c r="BF89" s="597"/>
      <c r="BG89" s="597"/>
      <c r="BH89" s="597"/>
      <c r="BI89" s="597"/>
      <c r="BJ89" s="597"/>
      <c r="BK89" s="597"/>
      <c r="BL89" s="597"/>
      <c r="BM89" s="597"/>
      <c r="BN89" s="597"/>
      <c r="BO89" s="597"/>
      <c r="BP89" s="597"/>
      <c r="BQ89" s="597"/>
      <c r="BR89" s="597"/>
      <c r="BS89" s="597"/>
      <c r="BT89" s="597"/>
      <c r="BU89" s="597"/>
      <c r="BV89" s="597"/>
    </row>
    <row r="90" spans="24:74">
      <c r="X90" s="599"/>
      <c r="Y90" s="599"/>
      <c r="Z90" s="599"/>
      <c r="AA90" s="599"/>
      <c r="AB90" s="599"/>
      <c r="AC90" s="599"/>
      <c r="AD90" s="599"/>
      <c r="AE90" s="599"/>
      <c r="AF90" s="599"/>
      <c r="AG90" s="599"/>
      <c r="AH90" s="600"/>
      <c r="AI90" s="600"/>
      <c r="AJ90" s="600"/>
      <c r="AK90" s="600"/>
      <c r="AL90" s="600"/>
      <c r="AM90" s="600"/>
      <c r="AN90" s="600"/>
      <c r="AO90" s="600"/>
      <c r="AP90" s="600"/>
      <c r="AQ90" s="600"/>
      <c r="AR90" s="600"/>
      <c r="AS90" s="600"/>
      <c r="AT90" s="597"/>
      <c r="AU90" s="597"/>
      <c r="AV90" s="597"/>
      <c r="AW90" s="597"/>
      <c r="AX90" s="597"/>
      <c r="AY90" s="597"/>
      <c r="AZ90" s="597"/>
      <c r="BA90" s="597"/>
      <c r="BB90" s="597"/>
      <c r="BC90" s="597"/>
      <c r="BD90" s="597"/>
      <c r="BE90" s="597"/>
      <c r="BF90" s="597"/>
      <c r="BG90" s="597"/>
      <c r="BH90" s="597"/>
      <c r="BI90" s="597"/>
      <c r="BJ90" s="597"/>
      <c r="BK90" s="597"/>
      <c r="BL90" s="597"/>
      <c r="BM90" s="597"/>
      <c r="BN90" s="597"/>
      <c r="BO90" s="597"/>
      <c r="BP90" s="597"/>
      <c r="BQ90" s="597"/>
      <c r="BR90" s="597"/>
      <c r="BS90" s="597"/>
      <c r="BT90" s="597"/>
      <c r="BU90" s="597"/>
      <c r="BV90" s="597"/>
    </row>
    <row r="91" spans="24:74">
      <c r="X91" s="599"/>
      <c r="Y91" s="599"/>
      <c r="Z91" s="599"/>
      <c r="AA91" s="599"/>
      <c r="AB91" s="599"/>
      <c r="AC91" s="599"/>
      <c r="AD91" s="599"/>
      <c r="AE91" s="599"/>
      <c r="AF91" s="599"/>
      <c r="AG91" s="599"/>
      <c r="AH91" s="600"/>
      <c r="AI91" s="600"/>
      <c r="AJ91" s="600"/>
      <c r="AK91" s="600"/>
      <c r="AL91" s="600"/>
      <c r="AM91" s="600"/>
      <c r="AN91" s="600"/>
      <c r="AO91" s="600"/>
      <c r="AP91" s="600"/>
      <c r="AQ91" s="600"/>
      <c r="AR91" s="600"/>
      <c r="AS91" s="600"/>
      <c r="AT91" s="597"/>
      <c r="AU91" s="597"/>
      <c r="AV91" s="597"/>
      <c r="AW91" s="597"/>
      <c r="AX91" s="597"/>
      <c r="AY91" s="597"/>
      <c r="AZ91" s="597"/>
      <c r="BA91" s="597"/>
      <c r="BB91" s="597"/>
      <c r="BC91" s="597"/>
      <c r="BD91" s="597"/>
      <c r="BE91" s="597"/>
      <c r="BF91" s="597"/>
      <c r="BG91" s="597"/>
      <c r="BH91" s="597"/>
      <c r="BI91" s="597"/>
      <c r="BJ91" s="597"/>
      <c r="BK91" s="597"/>
      <c r="BL91" s="597"/>
      <c r="BM91" s="597"/>
      <c r="BN91" s="597"/>
      <c r="BO91" s="597"/>
      <c r="BP91" s="597"/>
      <c r="BQ91" s="597"/>
      <c r="BR91" s="597"/>
      <c r="BS91" s="597"/>
      <c r="BT91" s="597"/>
      <c r="BU91" s="597"/>
      <c r="BV91" s="597"/>
    </row>
  </sheetData>
  <mergeCells count="160">
    <mergeCell ref="N12:Q14"/>
    <mergeCell ref="R12:R14"/>
    <mergeCell ref="M12:M14"/>
    <mergeCell ref="M18:N21"/>
    <mergeCell ref="L23:M24"/>
    <mergeCell ref="N23:O24"/>
    <mergeCell ref="P23:Q24"/>
    <mergeCell ref="R23:R24"/>
    <mergeCell ref="K31:K33"/>
    <mergeCell ref="L31:M33"/>
    <mergeCell ref="N31:O33"/>
    <mergeCell ref="P31:Q33"/>
    <mergeCell ref="N25:Q27"/>
    <mergeCell ref="R25:R27"/>
    <mergeCell ref="K23:K24"/>
    <mergeCell ref="K25:K27"/>
    <mergeCell ref="L28:M30"/>
    <mergeCell ref="N28:O30"/>
    <mergeCell ref="P28:Q30"/>
    <mergeCell ref="K28:K30"/>
    <mergeCell ref="R28:R30"/>
    <mergeCell ref="R31:R33"/>
    <mergeCell ref="A56:A59"/>
    <mergeCell ref="M56:Q57"/>
    <mergeCell ref="M58:Q59"/>
    <mergeCell ref="T3:AG3"/>
    <mergeCell ref="A5:A8"/>
    <mergeCell ref="B5:B8"/>
    <mergeCell ref="C5:C8"/>
    <mergeCell ref="D5:E5"/>
    <mergeCell ref="D6:E6"/>
    <mergeCell ref="D7:E7"/>
    <mergeCell ref="D8:E8"/>
    <mergeCell ref="B18:C18"/>
    <mergeCell ref="D18:E18"/>
    <mergeCell ref="F18:G18"/>
    <mergeCell ref="D22:E22"/>
    <mergeCell ref="A23:A24"/>
    <mergeCell ref="B23:C24"/>
    <mergeCell ref="D23:E23"/>
    <mergeCell ref="D24:E24"/>
    <mergeCell ref="A19:A20"/>
    <mergeCell ref="B19:C20"/>
    <mergeCell ref="M15:M17"/>
    <mergeCell ref="M10:R10"/>
    <mergeCell ref="N11:Q11"/>
    <mergeCell ref="C2:N2"/>
    <mergeCell ref="A3:A4"/>
    <mergeCell ref="B3:B4"/>
    <mergeCell ref="C3:C4"/>
    <mergeCell ref="D3:E4"/>
    <mergeCell ref="F3:R3"/>
    <mergeCell ref="R2:S2"/>
    <mergeCell ref="A12:A16"/>
    <mergeCell ref="B12:B16"/>
    <mergeCell ref="C12:C16"/>
    <mergeCell ref="D12:E12"/>
    <mergeCell ref="D13:E13"/>
    <mergeCell ref="D14:E14"/>
    <mergeCell ref="D15:E15"/>
    <mergeCell ref="A10:A11"/>
    <mergeCell ref="B10:B11"/>
    <mergeCell ref="C10:C11"/>
    <mergeCell ref="D10:E11"/>
    <mergeCell ref="F10:G10"/>
    <mergeCell ref="R15:R17"/>
    <mergeCell ref="D16:E16"/>
    <mergeCell ref="J10:K16"/>
    <mergeCell ref="N15:Q17"/>
    <mergeCell ref="H10:I16"/>
    <mergeCell ref="D19:E19"/>
    <mergeCell ref="F19:G26"/>
    <mergeCell ref="D20:E20"/>
    <mergeCell ref="A21:A22"/>
    <mergeCell ref="B21:C22"/>
    <mergeCell ref="D21:E21"/>
    <mergeCell ref="A25:A26"/>
    <mergeCell ref="B25:C26"/>
    <mergeCell ref="D25:E25"/>
    <mergeCell ref="A28:D29"/>
    <mergeCell ref="E28:E30"/>
    <mergeCell ref="F28:I28"/>
    <mergeCell ref="F29:I29"/>
    <mergeCell ref="C30:D30"/>
    <mergeCell ref="F30:G30"/>
    <mergeCell ref="H30:I30"/>
    <mergeCell ref="L25:M27"/>
    <mergeCell ref="H34:I34"/>
    <mergeCell ref="D26:E26"/>
    <mergeCell ref="F32:G32"/>
    <mergeCell ref="H32:I32"/>
    <mergeCell ref="F33:G33"/>
    <mergeCell ref="H33:I33"/>
    <mergeCell ref="A31:A34"/>
    <mergeCell ref="B31:B34"/>
    <mergeCell ref="C31:D34"/>
    <mergeCell ref="F31:G31"/>
    <mergeCell ref="H31:I31"/>
    <mergeCell ref="F34:G34"/>
    <mergeCell ref="A35:D36"/>
    <mergeCell ref="E35:E37"/>
    <mergeCell ref="F35:O35"/>
    <mergeCell ref="P35:R36"/>
    <mergeCell ref="F36:G36"/>
    <mergeCell ref="H36:I36"/>
    <mergeCell ref="J36:K36"/>
    <mergeCell ref="L36:M36"/>
    <mergeCell ref="N36:O36"/>
    <mergeCell ref="C37:D37"/>
    <mergeCell ref="P37:R41"/>
    <mergeCell ref="B38:B41"/>
    <mergeCell ref="C38:D41"/>
    <mergeCell ref="A42:O42"/>
    <mergeCell ref="A43:B44"/>
    <mergeCell ref="C43:D44"/>
    <mergeCell ref="E43:E44"/>
    <mergeCell ref="F43:I43"/>
    <mergeCell ref="J43:J48"/>
    <mergeCell ref="K43:N48"/>
    <mergeCell ref="P43:R44"/>
    <mergeCell ref="F44:G44"/>
    <mergeCell ref="H44:I44"/>
    <mergeCell ref="A45:B48"/>
    <mergeCell ref="C45:D46"/>
    <mergeCell ref="F45:G45"/>
    <mergeCell ref="H45:I45"/>
    <mergeCell ref="P45:R50"/>
    <mergeCell ref="F46:G46"/>
    <mergeCell ref="H46:I46"/>
    <mergeCell ref="C47:D48"/>
    <mergeCell ref="F47:G47"/>
    <mergeCell ref="H47:I47"/>
    <mergeCell ref="F48:G48"/>
    <mergeCell ref="H48:I48"/>
    <mergeCell ref="A50:B51"/>
    <mergeCell ref="C50:D51"/>
    <mergeCell ref="E50:E51"/>
    <mergeCell ref="F50:I50"/>
    <mergeCell ref="AZ68:BF69"/>
    <mergeCell ref="BG68:BI69"/>
    <mergeCell ref="AW70:AY74"/>
    <mergeCell ref="AZ70:BA74"/>
    <mergeCell ref="BB70:BF74"/>
    <mergeCell ref="BG70:BI74"/>
    <mergeCell ref="E54:E55"/>
    <mergeCell ref="F54:G55"/>
    <mergeCell ref="H54:I55"/>
    <mergeCell ref="A63:F63"/>
    <mergeCell ref="G63:J63"/>
    <mergeCell ref="AW68:AY69"/>
    <mergeCell ref="J50:J55"/>
    <mergeCell ref="K50:N55"/>
    <mergeCell ref="F51:G51"/>
    <mergeCell ref="H51:I51"/>
    <mergeCell ref="A52:B55"/>
    <mergeCell ref="C52:D53"/>
    <mergeCell ref="E52:E53"/>
    <mergeCell ref="F52:G53"/>
    <mergeCell ref="H52:I53"/>
    <mergeCell ref="C54:D55"/>
  </mergeCells>
  <printOptions horizontalCentered="1"/>
  <pageMargins left="0" right="0.15748031496062992" top="0" bottom="0" header="3.937007874015748E-2" footer="0.11811023622047245"/>
  <pageSetup paperSize="9" scale="34" orientation="landscape" r:id="rId1"/>
  <headerFooter scaleWithDoc="0">
    <oddFooter>&amp;R&amp;"Arial Cyr,полужирный"&amp;8стр. &amp;P из &amp;N&amp;"Arial Cyr,обычный" 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11</vt:i4>
      </vt:variant>
    </vt:vector>
  </HeadingPairs>
  <TitlesOfParts>
    <vt:vector size="20" baseType="lpstr">
      <vt:lpstr>Панельные ограждения GL (стр.1)</vt:lpstr>
      <vt:lpstr>Панельные ограждения GL (стр.2)</vt:lpstr>
      <vt:lpstr>Эл-ты панельных ограждений - 1</vt:lpstr>
      <vt:lpstr>Эл-ты панельных ограждений - 2</vt:lpstr>
      <vt:lpstr>Панельные ограждения Optima</vt:lpstr>
      <vt:lpstr>Модульные ограждения GL</vt:lpstr>
      <vt:lpstr>Времен.огражд.+Рулон+Штакетник</vt:lpstr>
      <vt:lpstr>Откатные ворота</vt:lpstr>
      <vt:lpstr>Распашные ворота и калитки</vt:lpstr>
      <vt:lpstr>'Времен.огражд.+Рулон+Штакетник'!Print_Area</vt:lpstr>
      <vt:lpstr>'Распашные ворота и калитки'!Print_Area</vt:lpstr>
      <vt:lpstr>'Времен.огражд.+Рулон+Штакетник'!Область_печати</vt:lpstr>
      <vt:lpstr>'Модульные ограждения GL'!Область_печати</vt:lpstr>
      <vt:lpstr>'Откатные ворота'!Область_печати</vt:lpstr>
      <vt:lpstr>'Панельные ограждения GL (стр.1)'!Область_печати</vt:lpstr>
      <vt:lpstr>'Панельные ограждения GL (стр.2)'!Область_печати</vt:lpstr>
      <vt:lpstr>'Панельные ограждения Optima'!Область_печати</vt:lpstr>
      <vt:lpstr>'Распашные ворота и калитки'!Область_печати</vt:lpstr>
      <vt:lpstr>'Эл-ты панельных ограждений - 1'!Область_печати</vt:lpstr>
      <vt:lpstr>'Эл-ты панельных ограждений - 2'!Область_печати</vt:lpstr>
    </vt:vector>
  </TitlesOfParts>
  <Company>МСУЦ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Grand Line</dc:creator>
  <cp:keywords>Grand Line Ограждения</cp:keywords>
  <cp:lastModifiedBy>Vladimir Kudinov</cp:lastModifiedBy>
  <cp:lastPrinted>2017-09-05T07:03:39Z</cp:lastPrinted>
  <dcterms:created xsi:type="dcterms:W3CDTF">2012-07-09T12:54:34Z</dcterms:created>
  <dcterms:modified xsi:type="dcterms:W3CDTF">2017-09-06T10:04:06Z</dcterms:modified>
</cp:coreProperties>
</file>