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9708" yWindow="-12" windowWidth="9540" windowHeight="11028" tabRatio="941"/>
  </bookViews>
  <sheets>
    <sheet name="Панельные ограждения GL (стр.1)" sheetId="134" r:id="rId1"/>
    <sheet name="Панельные ограждения GL (стр.2)" sheetId="135" r:id="rId2"/>
    <sheet name="Эл-ты панельных ограждений" sheetId="125" r:id="rId3"/>
    <sheet name="Модульные ограждения GL" sheetId="68" r:id="rId4"/>
    <sheet name="Времен.огражд.+Рулон+Штакетник" sheetId="119" r:id="rId5"/>
    <sheet name="Откатные ворота" sheetId="126" r:id="rId6"/>
    <sheet name="Распашные ворота и калитки" sheetId="127" r:id="rId7"/>
    <sheet name="Locinox" sheetId="133" r:id="rId8"/>
  </sheets>
  <definedNames>
    <definedName name="Print_Area" localSheetId="4">'Времен.огражд.+Рулон+Штакетник'!$A$1:$O$70</definedName>
    <definedName name="Print_Area" localSheetId="6">'Распашные ворота и калитки'!$A$1:$R$67</definedName>
    <definedName name="_xlnm.Print_Area" localSheetId="7">Locinox!$A$1:$M$68</definedName>
    <definedName name="_xlnm.Print_Area" localSheetId="4">'Времен.огражд.+Рулон+Штакетник'!$A$1:$O$72</definedName>
    <definedName name="_xlnm.Print_Area" localSheetId="3">'Модульные ограждения GL'!$A$1:$P$71</definedName>
    <definedName name="_xlnm.Print_Area" localSheetId="5">'Откатные ворота'!$A$1:$Q$47</definedName>
    <definedName name="_xlnm.Print_Area" localSheetId="0">'Панельные ограждения GL (стр.1)'!$A$1:$H$102</definedName>
    <definedName name="_xlnm.Print_Area" localSheetId="1">'Панельные ограждения GL (стр.2)'!$A$1:$H$106</definedName>
    <definedName name="_xlnm.Print_Area" localSheetId="6">'Распашные ворота и калитки'!$A$1:$V$68</definedName>
    <definedName name="_xlnm.Print_Area" localSheetId="2">'Эл-ты панельных ограждений'!$A$1:$I$106</definedName>
  </definedNames>
  <calcPr calcId="125725"/>
</workbook>
</file>

<file path=xl/calcChain.xml><?xml version="1.0" encoding="utf-8"?>
<calcChain xmlns="http://schemas.openxmlformats.org/spreadsheetml/2006/main">
  <c r="X25" i="119"/>
  <c r="X24"/>
  <c r="X23"/>
  <c r="U23"/>
  <c r="T22"/>
  <c r="T23"/>
  <c r="S23"/>
  <c r="U22"/>
  <c r="S21" l="1"/>
  <c r="X21"/>
  <c r="X20"/>
  <c r="S20"/>
  <c r="X37"/>
  <c r="W37"/>
  <c r="U37"/>
  <c r="T37"/>
  <c r="S37"/>
  <c r="X27"/>
  <c r="U27"/>
  <c r="X26"/>
  <c r="W26"/>
  <c r="V26"/>
  <c r="U26"/>
  <c r="X19"/>
  <c r="W19"/>
  <c r="U19"/>
  <c r="T19"/>
  <c r="S19"/>
  <c r="X18"/>
  <c r="W18"/>
  <c r="U18"/>
  <c r="T18"/>
  <c r="S18"/>
  <c r="X17"/>
  <c r="X16"/>
  <c r="W17"/>
  <c r="W16"/>
  <c r="U17"/>
  <c r="U16"/>
  <c r="T16"/>
  <c r="S17"/>
  <c r="S16"/>
  <c r="K17" l="1"/>
  <c r="K18"/>
  <c r="P53" i="135"/>
  <c r="O53"/>
  <c r="N53"/>
  <c r="P47"/>
  <c r="O47"/>
  <c r="N47"/>
  <c r="N46"/>
  <c r="M46"/>
  <c r="L46"/>
  <c r="O45"/>
  <c r="N45"/>
  <c r="M45"/>
  <c r="L45"/>
  <c r="N44"/>
  <c r="M44"/>
  <c r="L44"/>
  <c r="O43"/>
  <c r="N43"/>
  <c r="M43"/>
  <c r="L43"/>
  <c r="N42"/>
  <c r="M42"/>
  <c r="L42"/>
  <c r="O41"/>
  <c r="N41"/>
  <c r="M41"/>
  <c r="L41"/>
  <c r="N40"/>
  <c r="M40"/>
  <c r="L40"/>
  <c r="N39"/>
  <c r="M39"/>
  <c r="L39"/>
  <c r="N38"/>
  <c r="M38"/>
  <c r="L38"/>
  <c r="N37"/>
  <c r="M37"/>
  <c r="L37"/>
  <c r="N36"/>
  <c r="M36"/>
  <c r="L36"/>
  <c r="N35"/>
  <c r="M35"/>
  <c r="L35"/>
  <c r="N34"/>
  <c r="M34"/>
  <c r="L34"/>
  <c r="N33"/>
  <c r="M33"/>
  <c r="L33"/>
  <c r="N32"/>
  <c r="M32"/>
  <c r="L32"/>
  <c r="N31"/>
  <c r="M31"/>
  <c r="L31"/>
  <c r="O30"/>
  <c r="N30"/>
  <c r="M30"/>
  <c r="L30"/>
  <c r="O29"/>
  <c r="N29"/>
  <c r="M29"/>
  <c r="L29"/>
  <c r="O28"/>
  <c r="N28"/>
  <c r="M28"/>
  <c r="L28"/>
  <c r="O27"/>
  <c r="N27"/>
  <c r="M27"/>
  <c r="L27"/>
  <c r="O26"/>
  <c r="N26"/>
  <c r="M26"/>
  <c r="L26"/>
  <c r="O25"/>
  <c r="N25"/>
  <c r="M25"/>
  <c r="L25"/>
  <c r="O24"/>
  <c r="N24"/>
  <c r="M24"/>
  <c r="L24"/>
  <c r="O23"/>
  <c r="N23"/>
  <c r="M23"/>
  <c r="L23"/>
  <c r="O22"/>
  <c r="N22"/>
  <c r="M22"/>
  <c r="L22"/>
  <c r="O21"/>
  <c r="N21"/>
  <c r="M21"/>
  <c r="L21"/>
  <c r="O20"/>
  <c r="N20"/>
  <c r="M20"/>
  <c r="L20"/>
  <c r="O19"/>
  <c r="N19"/>
  <c r="M19"/>
  <c r="L19"/>
  <c r="O18"/>
  <c r="N18"/>
  <c r="M18"/>
  <c r="L18"/>
  <c r="O17"/>
  <c r="N17"/>
  <c r="M17"/>
  <c r="L17"/>
  <c r="O16"/>
  <c r="N16"/>
  <c r="M16"/>
  <c r="L16"/>
  <c r="O15"/>
  <c r="N15"/>
  <c r="M15"/>
  <c r="L15"/>
  <c r="O14"/>
  <c r="N14"/>
  <c r="M14"/>
  <c r="L14"/>
  <c r="N53" i="134"/>
  <c r="O53"/>
  <c r="P53"/>
  <c r="N47"/>
  <c r="O47"/>
  <c r="P47"/>
  <c r="O45"/>
  <c r="N46"/>
  <c r="N45"/>
  <c r="M46"/>
  <c r="M45"/>
  <c r="L46"/>
  <c r="L45"/>
  <c r="O43"/>
  <c r="N44"/>
  <c r="N43"/>
  <c r="M44"/>
  <c r="M43"/>
  <c r="L44"/>
  <c r="L43"/>
  <c r="O41"/>
  <c r="N42"/>
  <c r="N41"/>
  <c r="M42"/>
  <c r="M41"/>
  <c r="L42"/>
  <c r="L41"/>
  <c r="O30"/>
  <c r="N40"/>
  <c r="N39"/>
  <c r="N38"/>
  <c r="N37"/>
  <c r="N36"/>
  <c r="N35"/>
  <c r="N34"/>
  <c r="N33"/>
  <c r="N32"/>
  <c r="N31"/>
  <c r="N30"/>
  <c r="M40"/>
  <c r="M39"/>
  <c r="M38"/>
  <c r="M37"/>
  <c r="M36"/>
  <c r="M35"/>
  <c r="M34"/>
  <c r="M33"/>
  <c r="M32"/>
  <c r="M31"/>
  <c r="M30"/>
  <c r="L40"/>
  <c r="L39"/>
  <c r="L38"/>
  <c r="L37"/>
  <c r="L36"/>
  <c r="L35"/>
  <c r="L34"/>
  <c r="L33"/>
  <c r="L32"/>
  <c r="L31"/>
  <c r="L30"/>
  <c r="N17"/>
  <c r="N16"/>
  <c r="N15"/>
  <c r="O29"/>
  <c r="O28"/>
  <c r="N29"/>
  <c r="N28"/>
  <c r="M29"/>
  <c r="M28"/>
  <c r="L29"/>
  <c r="L28"/>
  <c r="N27"/>
  <c r="M27"/>
  <c r="L27"/>
  <c r="N26"/>
  <c r="M26"/>
  <c r="L26"/>
  <c r="N25"/>
  <c r="M25"/>
  <c r="L25"/>
  <c r="N24"/>
  <c r="M24"/>
  <c r="L24"/>
  <c r="N23"/>
  <c r="M23"/>
  <c r="L23"/>
  <c r="N22"/>
  <c r="M22"/>
  <c r="L22"/>
  <c r="N21"/>
  <c r="M21"/>
  <c r="L21"/>
  <c r="N20"/>
  <c r="M20"/>
  <c r="L20"/>
  <c r="N19"/>
  <c r="M19"/>
  <c r="L19"/>
  <c r="N18"/>
  <c r="M18"/>
  <c r="L18"/>
  <c r="M17"/>
  <c r="M16"/>
  <c r="M15"/>
  <c r="L17"/>
  <c r="L16"/>
  <c r="L15"/>
  <c r="O14"/>
  <c r="O27"/>
  <c r="O26"/>
  <c r="O25"/>
  <c r="O24"/>
  <c r="O23"/>
  <c r="O22"/>
  <c r="O21"/>
  <c r="O20"/>
  <c r="O19"/>
  <c r="O18"/>
  <c r="O17"/>
  <c r="O16"/>
  <c r="O15"/>
  <c r="N14"/>
  <c r="M14"/>
  <c r="L14"/>
  <c r="S56" i="127"/>
  <c r="Q54"/>
  <c r="G57"/>
  <c r="G56"/>
  <c r="E55"/>
  <c r="E54"/>
  <c r="S50"/>
  <c r="S49"/>
  <c r="S48"/>
  <c r="S47"/>
  <c r="Q50"/>
  <c r="Q49"/>
  <c r="Q48"/>
  <c r="Q47"/>
  <c r="G50"/>
  <c r="G49"/>
  <c r="G48"/>
  <c r="G47"/>
  <c r="E50"/>
  <c r="E49"/>
  <c r="E48"/>
  <c r="E47"/>
  <c r="N28"/>
  <c r="F25"/>
  <c r="F24"/>
  <c r="F23"/>
  <c r="F22"/>
  <c r="F21"/>
  <c r="E25"/>
  <c r="E24"/>
  <c r="E23"/>
  <c r="E22"/>
  <c r="E21"/>
  <c r="P17"/>
  <c r="S21"/>
  <c r="M39"/>
  <c r="M38"/>
  <c r="M37"/>
  <c r="M36"/>
  <c r="M35"/>
  <c r="M34"/>
  <c r="M33"/>
  <c r="M32"/>
  <c r="I14"/>
  <c r="I13"/>
  <c r="I12"/>
  <c r="I11"/>
  <c r="T14"/>
  <c r="R14"/>
  <c r="Q14"/>
  <c r="P14"/>
  <c r="O14"/>
  <c r="N14"/>
  <c r="M14"/>
  <c r="L14"/>
  <c r="K14"/>
  <c r="U13"/>
  <c r="T13"/>
  <c r="S13"/>
  <c r="R13"/>
  <c r="Q13"/>
  <c r="P13"/>
  <c r="O13"/>
  <c r="N13"/>
  <c r="M13"/>
  <c r="L13"/>
  <c r="K13"/>
  <c r="U12"/>
  <c r="T12"/>
  <c r="R12"/>
  <c r="Q12"/>
  <c r="P12"/>
  <c r="O12"/>
  <c r="N12"/>
  <c r="M12"/>
  <c r="L12"/>
  <c r="K12"/>
  <c r="U11"/>
  <c r="T11"/>
  <c r="R11"/>
  <c r="Q11"/>
  <c r="P11"/>
  <c r="O11"/>
  <c r="N11"/>
  <c r="M11"/>
  <c r="L11"/>
  <c r="K11"/>
  <c r="J14"/>
  <c r="J13"/>
  <c r="J12"/>
  <c r="J11"/>
  <c r="F14"/>
  <c r="F13"/>
  <c r="F12"/>
  <c r="H14"/>
  <c r="G14"/>
  <c r="H13"/>
  <c r="G13"/>
  <c r="H12"/>
  <c r="G12"/>
  <c r="G11"/>
  <c r="H11"/>
  <c r="F11"/>
  <c r="M37" i="119"/>
  <c r="M36"/>
  <c r="I14"/>
  <c r="I13"/>
  <c r="I12"/>
  <c r="I64" i="68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X36" i="119" s="1"/>
  <c r="I43" i="68"/>
  <c r="I42"/>
  <c r="I41"/>
  <c r="I40"/>
  <c r="X33" i="119" s="1"/>
  <c r="I39" i="68"/>
  <c r="X31" i="119" s="1"/>
  <c r="I38" i="68"/>
  <c r="X30" i="119" s="1"/>
  <c r="I37" i="68"/>
  <c r="I36"/>
  <c r="X29" i="119" s="1"/>
  <c r="I35" i="68"/>
  <c r="X28" i="119" s="1"/>
  <c r="I34" i="68"/>
  <c r="I33"/>
  <c r="I32"/>
  <c r="I31"/>
  <c r="I30"/>
  <c r="I29"/>
  <c r="H96" i="125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P46" i="135" s="1"/>
  <c r="H45" i="125"/>
  <c r="P45" i="134" s="1"/>
  <c r="H44" i="125"/>
  <c r="H43"/>
  <c r="H42"/>
  <c r="P44" i="135" s="1"/>
  <c r="H41" i="125"/>
  <c r="P43" i="135" s="1"/>
  <c r="H40" i="125"/>
  <c r="P40" i="135" s="1"/>
  <c r="H39" i="125"/>
  <c r="P39" i="135" s="1"/>
  <c r="H38" i="125"/>
  <c r="P38" i="135" s="1"/>
  <c r="H37" i="125"/>
  <c r="P37" i="135" s="1"/>
  <c r="H36" i="125"/>
  <c r="P36" i="135" s="1"/>
  <c r="H35" i="125"/>
  <c r="P35" i="135" s="1"/>
  <c r="H34" i="125"/>
  <c r="P34" i="135" s="1"/>
  <c r="H33" i="125"/>
  <c r="P33" i="135" s="1"/>
  <c r="H32" i="125"/>
  <c r="P32" i="135" s="1"/>
  <c r="H31" i="125"/>
  <c r="P31" i="135" s="1"/>
  <c r="H30" i="125"/>
  <c r="H29"/>
  <c r="P42" i="134" s="1"/>
  <c r="H28" i="125"/>
  <c r="P41" i="135" s="1"/>
  <c r="H27" i="125"/>
  <c r="H26"/>
  <c r="H25"/>
  <c r="H24"/>
  <c r="P29" i="134" s="1"/>
  <c r="H23" i="125"/>
  <c r="P28" i="135" s="1"/>
  <c r="H22" i="125"/>
  <c r="P27" i="134" s="1"/>
  <c r="H21" i="125"/>
  <c r="P26" i="135" s="1"/>
  <c r="H20" i="125"/>
  <c r="P16" i="135" s="1"/>
  <c r="H19" i="125"/>
  <c r="P24" i="135" s="1"/>
  <c r="H18" i="125"/>
  <c r="P23" i="134" s="1"/>
  <c r="H17" i="125"/>
  <c r="P22" i="135" s="1"/>
  <c r="H16" i="125"/>
  <c r="P21" i="134" s="1"/>
  <c r="H15" i="125"/>
  <c r="P20" i="135" s="1"/>
  <c r="H14" i="125"/>
  <c r="P19" i="134" s="1"/>
  <c r="H13" i="125"/>
  <c r="P18" i="135" s="1"/>
  <c r="H12" i="125"/>
  <c r="P14" i="135" s="1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79" i="134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O30" i="126"/>
  <c r="P30" i="135" l="1"/>
  <c r="X22" i="119"/>
  <c r="P14" i="134"/>
  <c r="P16"/>
  <c r="P18"/>
  <c r="P20"/>
  <c r="P22"/>
  <c r="P24"/>
  <c r="P26"/>
  <c r="P28"/>
  <c r="P30"/>
  <c r="P32"/>
  <c r="P34"/>
  <c r="P36"/>
  <c r="P38"/>
  <c r="P40"/>
  <c r="P41"/>
  <c r="P44"/>
  <c r="P46"/>
  <c r="P15" i="135"/>
  <c r="P17"/>
  <c r="P19"/>
  <c r="P21"/>
  <c r="P23"/>
  <c r="P25"/>
  <c r="P27"/>
  <c r="P29"/>
  <c r="P42"/>
  <c r="P45"/>
  <c r="P15" i="134"/>
  <c r="P17"/>
  <c r="P25"/>
  <c r="P31"/>
  <c r="P33"/>
  <c r="P35"/>
  <c r="P37"/>
  <c r="P39"/>
  <c r="P43"/>
  <c r="K36" i="119"/>
  <c r="H78" i="135"/>
  <c r="H76"/>
  <c r="H72"/>
  <c r="H50"/>
  <c r="H48"/>
  <c r="H46"/>
  <c r="H36"/>
  <c r="H34"/>
  <c r="H32"/>
  <c r="H20"/>
  <c r="H90"/>
  <c r="H84"/>
  <c r="H65"/>
  <c r="H59"/>
  <c r="L49" i="119"/>
  <c r="K49"/>
  <c r="K20" l="1"/>
  <c r="K19"/>
  <c r="H40" i="135"/>
  <c r="H58"/>
  <c r="H64"/>
  <c r="H91"/>
  <c r="H25"/>
  <c r="H31"/>
  <c r="H33"/>
  <c r="H35"/>
  <c r="H37"/>
  <c r="H39"/>
  <c r="H45"/>
  <c r="H47"/>
  <c r="H49"/>
  <c r="H51"/>
  <c r="H71"/>
  <c r="H73"/>
  <c r="H75"/>
  <c r="H77"/>
  <c r="H52"/>
  <c r="H66"/>
  <c r="H70"/>
  <c r="H95"/>
  <c r="H19"/>
  <c r="H67"/>
  <c r="H69"/>
  <c r="H92"/>
  <c r="H94"/>
  <c r="H96"/>
  <c r="H16"/>
  <c r="H18"/>
  <c r="H22"/>
  <c r="H24"/>
  <c r="H26"/>
  <c r="H28"/>
  <c r="H42"/>
  <c r="H44"/>
  <c r="H53"/>
  <c r="H55"/>
  <c r="H57"/>
  <c r="H80"/>
  <c r="H82"/>
  <c r="H68"/>
  <c r="H93"/>
  <c r="H15"/>
  <c r="H17"/>
  <c r="H21"/>
  <c r="H23"/>
  <c r="H27"/>
  <c r="H29"/>
  <c r="H41"/>
  <c r="H43"/>
  <c r="H54"/>
  <c r="H56"/>
  <c r="H79"/>
  <c r="H81"/>
  <c r="H83"/>
  <c r="H30"/>
  <c r="H38"/>
  <c r="H74"/>
  <c r="H62"/>
  <c r="H61"/>
  <c r="H63"/>
  <c r="H86"/>
  <c r="H88"/>
  <c r="H60"/>
  <c r="H85"/>
  <c r="H87"/>
  <c r="H89"/>
  <c r="O47" i="119" l="1"/>
  <c r="M47"/>
  <c r="K52" l="1"/>
  <c r="L52"/>
  <c r="M48" l="1"/>
  <c r="H31" i="134" l="1"/>
  <c r="H63"/>
  <c r="H30"/>
  <c r="H47"/>
  <c r="H62"/>
  <c r="H77"/>
  <c r="H29"/>
  <c r="H61"/>
  <c r="H48"/>
  <c r="H78"/>
  <c r="H32"/>
  <c r="H49"/>
  <c r="H64"/>
  <c r="H79"/>
  <c r="H46"/>
  <c r="H76"/>
  <c r="H60"/>
  <c r="H44"/>
  <c r="H26"/>
  <c r="H18"/>
  <c r="H25"/>
  <c r="H45"/>
  <c r="H28"/>
  <c r="H23"/>
  <c r="H27"/>
  <c r="H66"/>
  <c r="H56"/>
  <c r="H71"/>
  <c r="H54"/>
  <c r="H69"/>
  <c r="H15"/>
  <c r="H16"/>
  <c r="H17"/>
  <c r="H51"/>
  <c r="H21"/>
  <c r="H55"/>
  <c r="H57"/>
  <c r="H65"/>
  <c r="H68"/>
  <c r="H70"/>
  <c r="H72"/>
  <c r="H41"/>
  <c r="H42"/>
  <c r="H20"/>
  <c r="H22"/>
  <c r="H24"/>
  <c r="H34"/>
  <c r="H36"/>
  <c r="H38"/>
  <c r="H40"/>
  <c r="H50"/>
  <c r="H52"/>
  <c r="H53"/>
  <c r="H19"/>
  <c r="H33"/>
  <c r="H35"/>
  <c r="H37"/>
  <c r="H39"/>
  <c r="H43"/>
  <c r="H58"/>
  <c r="H59"/>
  <c r="H67"/>
  <c r="H73"/>
  <c r="H74"/>
  <c r="H75"/>
  <c r="O26" i="126" l="1"/>
  <c r="L26"/>
  <c r="M64" i="133" l="1"/>
  <c r="M63"/>
  <c r="M62"/>
  <c r="M60"/>
  <c r="M59"/>
  <c r="M58"/>
  <c r="M57"/>
  <c r="M56"/>
  <c r="M55"/>
  <c r="M53"/>
  <c r="M52"/>
  <c r="M51"/>
  <c r="M50"/>
  <c r="M49"/>
  <c r="M48"/>
  <c r="M46"/>
  <c r="M40"/>
  <c r="M39"/>
  <c r="M33"/>
  <c r="M32"/>
  <c r="M27"/>
  <c r="M24"/>
  <c r="M20"/>
  <c r="M18"/>
  <c r="M13"/>
  <c r="M11"/>
  <c r="M6"/>
  <c r="M45"/>
  <c r="M41"/>
  <c r="K53" i="119" l="1"/>
  <c r="L50"/>
  <c r="K50"/>
  <c r="K31"/>
  <c r="K32"/>
  <c r="K29"/>
  <c r="K28"/>
  <c r="K27"/>
  <c r="K26"/>
  <c r="K25"/>
  <c r="K24"/>
  <c r="K23"/>
  <c r="K30"/>
  <c r="L51" l="1"/>
  <c r="K51"/>
  <c r="O48" l="1"/>
  <c r="O45"/>
  <c r="M45"/>
  <c r="K33" l="1"/>
  <c r="O28" i="126" l="1"/>
  <c r="L28"/>
  <c r="F23"/>
  <c r="E23"/>
  <c r="F22"/>
  <c r="E22"/>
  <c r="F21"/>
  <c r="E21"/>
  <c r="Q17"/>
  <c r="P17"/>
  <c r="O17"/>
  <c r="N17"/>
  <c r="M17"/>
  <c r="L17"/>
  <c r="K17"/>
  <c r="J17"/>
  <c r="I17"/>
  <c r="H17"/>
  <c r="G17"/>
  <c r="F17"/>
  <c r="E17"/>
  <c r="Q16"/>
  <c r="P16"/>
  <c r="O16"/>
  <c r="N16"/>
  <c r="M16"/>
  <c r="L16"/>
  <c r="K16"/>
  <c r="J16"/>
  <c r="I16"/>
  <c r="H16"/>
  <c r="G16"/>
  <c r="F16"/>
  <c r="E16"/>
  <c r="Q15"/>
  <c r="P15"/>
  <c r="O15"/>
  <c r="N15"/>
  <c r="M15"/>
  <c r="L15"/>
  <c r="K15"/>
  <c r="J15"/>
  <c r="I15"/>
  <c r="H15"/>
  <c r="G15"/>
  <c r="F15"/>
  <c r="E15"/>
  <c r="Q14"/>
  <c r="P14"/>
  <c r="O14"/>
  <c r="N14"/>
  <c r="M14"/>
  <c r="L14"/>
  <c r="K14"/>
  <c r="J14"/>
  <c r="I14"/>
  <c r="H14"/>
  <c r="G14"/>
  <c r="F14"/>
  <c r="E14"/>
  <c r="Q13"/>
  <c r="P13"/>
  <c r="O13"/>
  <c r="N13"/>
  <c r="M13"/>
  <c r="L13"/>
  <c r="K13"/>
  <c r="J13"/>
  <c r="I13"/>
  <c r="H13"/>
  <c r="G13"/>
  <c r="F13"/>
  <c r="E13"/>
  <c r="Q12"/>
  <c r="P12"/>
  <c r="O12"/>
  <c r="N12"/>
  <c r="M12"/>
  <c r="L12"/>
  <c r="K12"/>
  <c r="J12"/>
  <c r="I12"/>
  <c r="H12"/>
  <c r="G12"/>
  <c r="F12"/>
  <c r="E12"/>
  <c r="K39" i="119" l="1"/>
  <c r="K38" l="1"/>
  <c r="K12" l="1"/>
  <c r="K14"/>
  <c r="K13" l="1"/>
  <c r="M17" i="68"/>
  <c r="I17"/>
  <c r="M24" l="1"/>
  <c r="M20"/>
  <c r="M21"/>
  <c r="K17" l="1"/>
  <c r="I24"/>
  <c r="I25"/>
  <c r="I26"/>
  <c r="M25"/>
  <c r="I20"/>
  <c r="M26"/>
  <c r="I21"/>
  <c r="O17"/>
</calcChain>
</file>

<file path=xl/sharedStrings.xml><?xml version="1.0" encoding="utf-8"?>
<sst xmlns="http://schemas.openxmlformats.org/spreadsheetml/2006/main" count="1127" uniqueCount="582">
  <si>
    <t xml:space="preserve">Комплект на 2,5 метра прямого не замкнутого участка без учета финишных столбов и калиток с воротами Модульных ограждений Grand Line® </t>
  </si>
  <si>
    <r>
      <t xml:space="preserve">Цена за 1 п.м. комплекта, руб. </t>
    </r>
    <r>
      <rPr>
        <b/>
        <sz val="16"/>
        <color indexed="10"/>
        <rFont val="Arial"/>
        <family val="2"/>
        <charset val="204"/>
      </rPr>
      <t>Внимание! Расчет теоретический</t>
    </r>
    <r>
      <rPr>
        <b/>
        <sz val="16"/>
        <rFont val="Arial"/>
        <family val="2"/>
        <charset val="204"/>
      </rPr>
      <t>.                                                             Продажа ведется по ЭЛЕМЕНТАМ и расчет по конкретному участку будет отличаться!</t>
    </r>
  </si>
  <si>
    <t xml:space="preserve"> Cтолб + заглушка</t>
  </si>
  <si>
    <r>
      <t xml:space="preserve">Штрих-корректоры
</t>
    </r>
    <r>
      <rPr>
        <sz val="16"/>
        <rFont val="Arial"/>
        <family val="2"/>
        <charset val="204"/>
      </rPr>
      <t>используется для реставрации полимерного покрытия</t>
    </r>
  </si>
  <si>
    <t xml:space="preserve">Фланец приваренный оцинкованный с полимерным покрытием                                           </t>
  </si>
  <si>
    <t>RAL6005,8017,3005,
7040,5005,9016,9005,
1021,1014,3020</t>
  </si>
  <si>
    <t>20 мл</t>
  </si>
  <si>
    <r>
      <t>ПББ диаметр 900</t>
    </r>
    <r>
      <rPr>
        <sz val="16"/>
        <rFont val="Arial"/>
        <family val="2"/>
        <charset val="204"/>
      </rPr>
      <t xml:space="preserve"> (4,4 витка на пог. метр)</t>
    </r>
  </si>
  <si>
    <t>Вес, кг/шт.</t>
  </si>
  <si>
    <t>0,63*2,5*</t>
  </si>
  <si>
    <t xml:space="preserve">* -  поддерживаются на складе в цинке   </t>
  </si>
  <si>
    <t xml:space="preserve">** -  поддерживаются на складе в цинке и полимерном покрытии: цвет зеленый RAL 6005 </t>
  </si>
  <si>
    <t>Остальные цвета по запросу согласно RAL с наценкой  10 %, в количестве не менее 300 погонных метров</t>
  </si>
  <si>
    <t>Цены указаны на  стандартные цвета. Возможно исполнение в других цветах стоимость по согласованию.</t>
  </si>
  <si>
    <r>
      <t xml:space="preserve">Крепление хомут, Крепление хомут угловой, Крепление хомут крайний </t>
    </r>
    <r>
      <rPr>
        <sz val="12"/>
        <rFont val="Arial"/>
        <family val="2"/>
        <charset val="204"/>
      </rPr>
      <t>(укомплектован антивандальными гайками М6)</t>
    </r>
  </si>
  <si>
    <t>0,83*2,5</t>
  </si>
  <si>
    <t>1,03*2,5*</t>
  </si>
  <si>
    <t>1,23*2,5</t>
  </si>
  <si>
    <t>1,43*2,5</t>
  </si>
  <si>
    <t>полиэстердвс</t>
  </si>
  <si>
    <r>
      <t xml:space="preserve">Крепление хомут, Крепление хомут крайний </t>
    </r>
    <r>
      <rPr>
        <sz val="12"/>
        <rFont val="Arial"/>
        <family val="2"/>
        <charset val="204"/>
      </rPr>
      <t>(укомплектован антивандальными гайками М6)</t>
    </r>
  </si>
  <si>
    <t xml:space="preserve">                               80*80</t>
  </si>
  <si>
    <t>2,23*2,5</t>
  </si>
  <si>
    <t>2,43*2,5*</t>
  </si>
  <si>
    <t>62*55</t>
  </si>
  <si>
    <t>1,50*</t>
  </si>
  <si>
    <t>3005
6005*
8017</t>
  </si>
  <si>
    <t>Бетонное основание*</t>
  </si>
  <si>
    <t>Стандарные цвета, RAL</t>
  </si>
  <si>
    <t>Комплектация</t>
  </si>
  <si>
    <t>Панель MEDIUM</t>
  </si>
  <si>
    <t>Газонные и тротуарные ограждения</t>
  </si>
  <si>
    <t>2,50*</t>
  </si>
  <si>
    <t>2,50***</t>
  </si>
  <si>
    <r>
      <t xml:space="preserve">Крепление скоба </t>
    </r>
    <r>
      <rPr>
        <sz val="16"/>
        <rFont val="Arial"/>
        <family val="2"/>
        <charset val="204"/>
      </rPr>
      <t>(болт М6*85/25/100  + гайка антивандальная М6 или или винт М6*30)</t>
    </r>
  </si>
  <si>
    <t>в бухте 10 погонных метров</t>
  </si>
  <si>
    <t>1 шт.</t>
  </si>
  <si>
    <r>
      <t>СББ диаметр 500/3</t>
    </r>
    <r>
      <rPr>
        <sz val="16"/>
        <rFont val="Arial"/>
        <family val="2"/>
        <charset val="204"/>
      </rPr>
      <t xml:space="preserve"> (4 витка на пог. метр)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</si>
  <si>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пог. метр)</t>
    </r>
  </si>
  <si>
    <r>
      <t>СББ диаметр 600/3</t>
    </r>
    <r>
      <rPr>
        <sz val="16"/>
        <rFont val="Arial"/>
        <family val="2"/>
        <charset val="204"/>
      </rPr>
      <t xml:space="preserve"> (4 витка на пог. метр)</t>
    </r>
  </si>
  <si>
    <r>
      <t>СББ диаметр 600/5</t>
    </r>
    <r>
      <rPr>
        <sz val="16"/>
        <rFont val="Arial"/>
        <family val="2"/>
        <charset val="204"/>
      </rPr>
      <t xml:space="preserve"> (6,2 витка на пог. метр)</t>
    </r>
  </si>
  <si>
    <r>
      <t>СББ диаметр 900/5</t>
    </r>
    <r>
      <rPr>
        <sz val="16"/>
        <rFont val="Arial"/>
        <family val="2"/>
        <charset val="204"/>
      </rPr>
      <t xml:space="preserve"> (4,2 витка на пог. метр)</t>
    </r>
  </si>
  <si>
    <t>полиэстер двс</t>
  </si>
  <si>
    <t>Цена, руб.</t>
  </si>
  <si>
    <t>-</t>
  </si>
  <si>
    <t>Цвета модульных ограждений GL:   зеленый RAL 6005, вишневый RAL 3005, коричневый RAL 8017</t>
  </si>
  <si>
    <t>Комплект откатных ворот</t>
  </si>
  <si>
    <t>Комплект для автоматизации откатных ворот</t>
  </si>
  <si>
    <t>Дополнительно можно приобрести</t>
  </si>
  <si>
    <t xml:space="preserve">62*55*1000     </t>
  </si>
  <si>
    <t>Панель PROTECT                                                                                  С ПОЛИМЕРНЫМ ПОКРЫТИЕМ                                                                    заполнение труба 40*20</t>
  </si>
  <si>
    <t>Protect**</t>
  </si>
  <si>
    <t>Наименование Откатных ворот</t>
  </si>
  <si>
    <t>Заполнение</t>
  </si>
  <si>
    <t>Премиум*</t>
  </si>
  <si>
    <t>Премиум Плюс*</t>
  </si>
  <si>
    <t>Profi**</t>
  </si>
  <si>
    <t>Панель Profi</t>
  </si>
  <si>
    <t>Профильная труба 40*20</t>
  </si>
  <si>
    <t>Цены указаны на стандартные цвета. Возможно исполнение в других цветах стоимость по согласованию.</t>
  </si>
  <si>
    <t>* - стандартные цвета по RAL: 3005, 6005, 8017</t>
  </si>
  <si>
    <t>** - стандартные цвета по RAL: 1014, 1021, 3005, 3020, 5005, 6005, 7040, 8017, 9005, 9016</t>
  </si>
  <si>
    <t>Ваша Скидка</t>
  </si>
  <si>
    <t>Изображение</t>
  </si>
  <si>
    <t>Распашные ворота Profi</t>
  </si>
  <si>
    <t>Калитка Profi</t>
  </si>
  <si>
    <t>Покрытие</t>
  </si>
  <si>
    <t>860*1600</t>
  </si>
  <si>
    <t>Планка притворная для навесного замка</t>
  </si>
  <si>
    <t>Наконечник V приваренный к столбу</t>
  </si>
  <si>
    <t>Наконечник L приваренный к столбу</t>
  </si>
  <si>
    <t>Высота/ Ширина,             м</t>
  </si>
  <si>
    <t>Диаметр проволоки,мм</t>
  </si>
  <si>
    <t>Высота/ Длина рулона, м</t>
  </si>
  <si>
    <t>Ячейка, мм</t>
  </si>
  <si>
    <t>Кол-во ребер,                                шт.</t>
  </si>
  <si>
    <t>Вес панели, кг</t>
  </si>
  <si>
    <t>1,0/25</t>
  </si>
  <si>
    <t>100*75</t>
  </si>
  <si>
    <t>Планка П-образная для штакетника</t>
  </si>
  <si>
    <t>Заказы в стандартных цветах менее 150 погонных метров не принимаются</t>
  </si>
  <si>
    <t>Розничная цена, шт./руб.</t>
  </si>
  <si>
    <t>100*50</t>
  </si>
  <si>
    <t>1,0/10</t>
  </si>
  <si>
    <t>1,2/10</t>
  </si>
  <si>
    <t>1,5/25</t>
  </si>
  <si>
    <t>1,8/25</t>
  </si>
  <si>
    <t>2,0/25</t>
  </si>
  <si>
    <t>50*50</t>
  </si>
  <si>
    <t>Высота/ Ширина, м</t>
  </si>
  <si>
    <t>Вес,                       кг/шт.</t>
  </si>
  <si>
    <t>0,6*0,2*0,125</t>
  </si>
  <si>
    <t>3006R</t>
  </si>
  <si>
    <t>3006P</t>
  </si>
  <si>
    <t>3012VCA</t>
  </si>
  <si>
    <t>HYBRID 6060</t>
  </si>
  <si>
    <t>отсутствует</t>
  </si>
  <si>
    <t>Ручки</t>
  </si>
  <si>
    <t>3006M,   алюминий</t>
  </si>
  <si>
    <t>Цилиндр и ключи</t>
  </si>
  <si>
    <t>3012G33Z, 3 штуки</t>
  </si>
  <si>
    <t>Защитная накладка для замка</t>
  </si>
  <si>
    <t>3020-HYB, цвет - черный</t>
  </si>
  <si>
    <t>LSKZ60 U2</t>
  </si>
  <si>
    <t>3006S</t>
  </si>
  <si>
    <t xml:space="preserve">860*1970 </t>
  </si>
  <si>
    <t xml:space="preserve">Труба                   </t>
  </si>
  <si>
    <t xml:space="preserve">40*20*2500  </t>
  </si>
  <si>
    <t>цинк Zn</t>
  </si>
  <si>
    <t>40*20*3000</t>
  </si>
  <si>
    <t xml:space="preserve">62*55*2500     </t>
  </si>
  <si>
    <t xml:space="preserve">62*55*3000   </t>
  </si>
  <si>
    <t>Калитка Эконом</t>
  </si>
  <si>
    <t>Регулируемые скорость и сила закрытия                                                                    Отбойник прилагается в комплекте</t>
  </si>
  <si>
    <t>Фиксатор створки ворот антивандальный</t>
  </si>
  <si>
    <t>HOOK-IN</t>
  </si>
  <si>
    <t>Предотвращает взлом ворот с помощью лома</t>
  </si>
  <si>
    <t>Cтолб 62*55</t>
  </si>
  <si>
    <t>Элемент быстрого монтажа</t>
  </si>
  <si>
    <t>QUICK-FIX</t>
  </si>
  <si>
    <t>2 штуки</t>
  </si>
  <si>
    <t>Петля для промышленных ворот</t>
  </si>
  <si>
    <t>Сталь</t>
  </si>
  <si>
    <t>Петля с регулировкой в четырех направлениях</t>
  </si>
  <si>
    <t>GBMU4D16Z</t>
  </si>
  <si>
    <t>Цинк</t>
  </si>
  <si>
    <t>GBMU4D20Z</t>
  </si>
  <si>
    <t>50 штук</t>
  </si>
  <si>
    <t>Петля с регулировкой в одном направлении</t>
  </si>
  <si>
    <t>Петля универсальная</t>
  </si>
  <si>
    <t>Петля универсального открывания</t>
  </si>
  <si>
    <t>Полимер</t>
  </si>
  <si>
    <t>Ворота Medium</t>
  </si>
  <si>
    <t>Панель MEDIUM С ПОЛИМЕРНЫМ ПОКРЫТИЕМ
ячейка основная 
200х55 мм
диаметр прутка 
4 мм</t>
  </si>
  <si>
    <t>в бухте 400 погонных метров</t>
  </si>
  <si>
    <t>в бухте 7-8 погонных метров</t>
  </si>
  <si>
    <r>
      <t>ПББ диаметр 500</t>
    </r>
    <r>
      <rPr>
        <sz val="16"/>
        <rFont val="Arial"/>
        <family val="2"/>
        <charset val="204"/>
      </rPr>
      <t xml:space="preserve"> (4,4 витка на пог. метр)</t>
    </r>
  </si>
  <si>
    <t>Модель</t>
  </si>
  <si>
    <r>
      <t>Цена за 1 п.м. комплекта прямого не замкнутого участка (столб 62*55 под бетон+панель+крепеж скоба/2,5), руб.</t>
    </r>
    <r>
      <rPr>
        <b/>
        <sz val="20"/>
        <color indexed="10"/>
        <rFont val="Arial"/>
        <family val="2"/>
        <charset val="204"/>
      </rPr>
      <t>Внимание! Расчет теоретический.</t>
    </r>
    <r>
      <rPr>
        <b/>
        <sz val="20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</si>
  <si>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 xml:space="preserve">Стандартные цвета:  зеленый RAL 6005, синий RAL 5005,  серый RAL 7040, белый RAL 9016, желтый RAL 1021, красный RAL 3020, </t>
  </si>
  <si>
    <t xml:space="preserve">вишневый RAL 3005, коричневый RAL 8017, черный RAL 9005, бежевый RAL 1014 </t>
  </si>
  <si>
    <t>1,65*1,00</t>
  </si>
  <si>
    <t>2*1,00</t>
  </si>
  <si>
    <t xml:space="preserve"> 2,00*1,00</t>
  </si>
  <si>
    <t xml:space="preserve"> 2,4*1,00</t>
  </si>
  <si>
    <t>1,65*3,6</t>
  </si>
  <si>
    <t>2,00*3,6</t>
  </si>
  <si>
    <t>2,4*3,6</t>
  </si>
  <si>
    <t>Рекомендованная розничная цена за 1 панель, шт/руб.</t>
  </si>
  <si>
    <t>Ограждения</t>
  </si>
  <si>
    <t>треугольный или прямоугольный к столбу 62*55</t>
  </si>
  <si>
    <t>квадратный к столбу 60*80 или 80*80</t>
  </si>
  <si>
    <t xml:space="preserve">1 шт. </t>
  </si>
  <si>
    <t>0,55*0,17</t>
  </si>
  <si>
    <t>Калитка Medium</t>
  </si>
  <si>
    <t>При заказе  Панелей шириной 3100 мм к стоимости Панелей 2500 мм применяется коэффициент 1,25</t>
  </si>
  <si>
    <t>2,20*</t>
  </si>
  <si>
    <t>2,40*</t>
  </si>
  <si>
    <t>2,20**</t>
  </si>
  <si>
    <t>оцинкованное  / с полимерным покрытием</t>
  </si>
  <si>
    <t>нерж</t>
  </si>
  <si>
    <t>Клипса соединительная</t>
  </si>
  <si>
    <t>Наконечник  универсальный</t>
  </si>
  <si>
    <t xml:space="preserve">цены действительны с </t>
  </si>
  <si>
    <t>Наименование</t>
  </si>
  <si>
    <t>1,53*2,5*</t>
  </si>
  <si>
    <t>1,73*2,5*</t>
  </si>
  <si>
    <t>2,03*2,5*</t>
  </si>
  <si>
    <t>Высота, м</t>
  </si>
  <si>
    <t>Ширина, м</t>
  </si>
  <si>
    <t>Наконечник  V на столб 62*55</t>
  </si>
  <si>
    <t>Заглушка GL  62*55</t>
  </si>
  <si>
    <t>Ограждение Grand Line®                                                       Эконом</t>
  </si>
  <si>
    <t>Ограждение Grand Line®                                                       Стандарт</t>
  </si>
  <si>
    <t>Ограждение Grand Line®                                                       Премиум</t>
  </si>
  <si>
    <t>Ограждение Grand Line®                                                       Премиум  Плюс</t>
  </si>
  <si>
    <t>Саморезы
4,8x35</t>
  </si>
  <si>
    <t>Саморезы
5,5x19</t>
  </si>
  <si>
    <t>Саморезы
4,2x16; заклепка 3,2х8</t>
  </si>
  <si>
    <t>Панель Премиум</t>
  </si>
  <si>
    <t>Элементы модульных ограждений Grand Line®</t>
  </si>
  <si>
    <t xml:space="preserve">полимер </t>
  </si>
  <si>
    <t>полимер</t>
  </si>
  <si>
    <t>Саморез металл-металл 5,5*19 бур.№3 цвет по RAL</t>
  </si>
  <si>
    <t>Изображение продукции</t>
  </si>
  <si>
    <t>Саморез металл-дерево 4,8*35 цвет по RAL</t>
  </si>
  <si>
    <t>Заклепка цветная 3,2*8 цвет по RAL</t>
  </si>
  <si>
    <t>Саморез с прессшайбой 4,2*16 цвет по RAL</t>
  </si>
  <si>
    <t xml:space="preserve">62*55*1500     </t>
  </si>
  <si>
    <t xml:space="preserve">62*55*2000   </t>
  </si>
  <si>
    <t>Пульт Flo2R-S</t>
  </si>
  <si>
    <t>Замковый выключатель (SELE)</t>
  </si>
  <si>
    <t>Ловитель</t>
  </si>
  <si>
    <t>Розничная цена за 1 панель, шт/руб.</t>
  </si>
  <si>
    <t>Розничная цена, руб/п.м.</t>
  </si>
  <si>
    <t>0,63*2,5</t>
  </si>
  <si>
    <t>Калитки и Ворота Эконом поддерживаются на складе в полимерном покрытии: серое стекло RAL 7040, коричневый RAL 8017</t>
  </si>
  <si>
    <t>** - поддерживаются на складе в полимерном покрытии: цвет зеленый RAL 6005, серое стекло RAL 7040</t>
  </si>
  <si>
    <t>Кол-во ребер, шт.</t>
  </si>
  <si>
    <t>Кол-во отверстий, шт.</t>
  </si>
  <si>
    <t>Кол-во в упаковке, шт.</t>
  </si>
  <si>
    <t>Высота/ Ширина, м.</t>
  </si>
  <si>
    <r>
      <t xml:space="preserve">Фиксатор проволоки в наконечнике                                 </t>
    </r>
    <r>
      <rPr>
        <sz val="16"/>
        <rFont val="Arial"/>
        <family val="2"/>
        <charset val="204"/>
      </rPr>
      <t>(скоба + болт М6*40 + гайка М6)</t>
    </r>
  </si>
  <si>
    <t>Высота/ Ширина,м</t>
  </si>
  <si>
    <t>Реком розничная цена, руб/п.м.</t>
  </si>
  <si>
    <t>Ригель створки ворот</t>
  </si>
  <si>
    <t>VSF QF</t>
  </si>
  <si>
    <t>мин 40</t>
  </si>
  <si>
    <t>+140</t>
  </si>
  <si>
    <t>+100</t>
  </si>
  <si>
    <t>Основная часть - алюминий, Запорная часть - цинк</t>
  </si>
  <si>
    <t>Фиксатор ригелей ворот</t>
  </si>
  <si>
    <t>OGS</t>
  </si>
  <si>
    <t>40-50-60</t>
  </si>
  <si>
    <t xml:space="preserve">ригелей VSF VSA </t>
  </si>
  <si>
    <t>Крышка</t>
  </si>
  <si>
    <t>87*50</t>
  </si>
  <si>
    <t>Калитка Премиум</t>
  </si>
  <si>
    <t xml:space="preserve">Калитка Премиум Плюс  </t>
  </si>
  <si>
    <t>Ворота Эконом</t>
  </si>
  <si>
    <t xml:space="preserve">Направляющая  </t>
  </si>
  <si>
    <t xml:space="preserve">60*20*2500 </t>
  </si>
  <si>
    <t>Элементы ограждений Locinox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</si>
  <si>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  </t>
  </si>
  <si>
    <t>Cтойка 84*48</t>
  </si>
  <si>
    <t>Панели не отмеченные как складские в цинке производятся в количестве от 300 штук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</si>
  <si>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с полимерным покрытием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</t>
  </si>
  <si>
    <t>Розничная цена, п.м./руб.</t>
  </si>
  <si>
    <t xml:space="preserve">Ворота Премиум </t>
  </si>
  <si>
    <t xml:space="preserve">Ворота Премиум Плюс </t>
  </si>
  <si>
    <t>RAL 3005, 6005, 8017</t>
  </si>
  <si>
    <t xml:space="preserve">* - поддерживаются на складе в полимерном покрытии: цвет зеленый RAL 6005 </t>
  </si>
  <si>
    <t>Фиксатор створки ворот</t>
  </si>
  <si>
    <t>UGC</t>
  </si>
  <si>
    <t>Алюмин</t>
  </si>
  <si>
    <t>+40</t>
  </si>
  <si>
    <t>Положение крюка под нижним профилем ворот</t>
  </si>
  <si>
    <t xml:space="preserve">360*2500    </t>
  </si>
  <si>
    <t xml:space="preserve"> Стойка </t>
  </si>
  <si>
    <t>84*48*2500</t>
  </si>
  <si>
    <t xml:space="preserve">84*48*3000 </t>
  </si>
  <si>
    <t xml:space="preserve">Х-кронштейн </t>
  </si>
  <si>
    <t xml:space="preserve">248*109*40 </t>
  </si>
  <si>
    <t>Т-кронштейн</t>
  </si>
  <si>
    <t>155*90*80</t>
  </si>
  <si>
    <t>Крышка универсальная</t>
  </si>
  <si>
    <t>100*87*20</t>
  </si>
  <si>
    <t>Заглушка GL 62*55</t>
  </si>
  <si>
    <t>62*55*30</t>
  </si>
  <si>
    <t>ПВХ</t>
  </si>
  <si>
    <t>L-кронштейн</t>
  </si>
  <si>
    <t>60*20*110</t>
  </si>
  <si>
    <t>Высота ограждения, м</t>
  </si>
  <si>
    <t xml:space="preserve">Габаритные размеры, мм                             </t>
  </si>
  <si>
    <t>Кол-во в упак , шт.</t>
  </si>
  <si>
    <t>Толщина, мм</t>
  </si>
  <si>
    <t>Реком розничная цена, руб/шт</t>
  </si>
  <si>
    <t>Комплект</t>
  </si>
  <si>
    <t>мин</t>
  </si>
  <si>
    <t>макс</t>
  </si>
  <si>
    <t>60мм</t>
  </si>
  <si>
    <t>80мм</t>
  </si>
  <si>
    <t>Ручка</t>
  </si>
  <si>
    <t>3006М</t>
  </si>
  <si>
    <t>Цилиндр</t>
  </si>
  <si>
    <t>3012VSZ</t>
  </si>
  <si>
    <t>Ключи</t>
  </si>
  <si>
    <t>3 штуки</t>
  </si>
  <si>
    <t>SAMSON 250</t>
  </si>
  <si>
    <t>мин 40 мм</t>
  </si>
  <si>
    <t xml:space="preserve">Регулируемые скорость и сила закрытия </t>
  </si>
  <si>
    <t>VERTICLOSE</t>
  </si>
  <si>
    <t>мин 70 мм</t>
  </si>
  <si>
    <t>1,93*2,5</t>
  </si>
  <si>
    <t>При заказе  Панелей шириной 3000 мм к стоимости Панелей 2500 мм применяется коэффициент 1,20</t>
  </si>
  <si>
    <t>Размеры</t>
  </si>
  <si>
    <t>Болт М6*85/100 + шайба + гайка антивандальная   для крепления наконечника универсального к столбу</t>
  </si>
  <si>
    <t>Комплект из 2-х оснований для столба</t>
  </si>
  <si>
    <t>Длина ворот до 6 м
Цена, руб.</t>
  </si>
  <si>
    <t>Длина ворот более 6,5 м
Цена, руб.</t>
  </si>
  <si>
    <t>Рейка с креплением для откатных ворот</t>
  </si>
  <si>
    <r>
      <t>ПББ диаметр 600</t>
    </r>
    <r>
      <rPr>
        <sz val="16"/>
        <rFont val="Arial"/>
        <family val="2"/>
        <charset val="204"/>
      </rPr>
      <t xml:space="preserve"> (4,4 витка на пог. метр)</t>
    </r>
  </si>
  <si>
    <t>60*80</t>
  </si>
  <si>
    <t>индивидуально</t>
  </si>
  <si>
    <t>80*80</t>
  </si>
  <si>
    <t>оцинкованное</t>
  </si>
  <si>
    <t>Наконечник L на столб 62*55</t>
  </si>
  <si>
    <t>Цвет</t>
  </si>
  <si>
    <t>Цена, руб</t>
  </si>
  <si>
    <t>Привод электромеханический TOONA TO5016/Р - 2шт, 
Блок управления А60/А - 1шт, 
Приемник встраиваемый 4к SMXIS - 1шт, 
Пульт ДУ 2к Smilo SM2 - 2шт</t>
  </si>
  <si>
    <t>Панели PROTECT  производятся под заказ в количестве от 300 п.м.</t>
  </si>
  <si>
    <t>Лампа сигнальная 12В MLB</t>
  </si>
  <si>
    <t>Фотоэлемент BF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</si>
  <si>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</si>
  <si>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с полимерным покрытием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</t>
  </si>
  <si>
    <t>1 штука</t>
  </si>
  <si>
    <t>ответная планка SHKM</t>
  </si>
  <si>
    <t>Ответная планка SSKZ QF</t>
  </si>
  <si>
    <t>Ответная планка O-SET</t>
  </si>
  <si>
    <t xml:space="preserve">Крепление (2 скобы и болт М6х40) </t>
  </si>
  <si>
    <t>черный RAL 9005</t>
  </si>
  <si>
    <t>Внимание! Продажа панельных ограждений ведется комплектно. Отдельно крепления, столбы или панели не продаются.</t>
  </si>
  <si>
    <t>*** - поддерживаются на складе в цинке и полимерном покрытии: цвет зеленый RAL 6005, серое стекло RAL 7040</t>
  </si>
  <si>
    <t>Элемент модульных ограждений Grand Line®:
Стойка 84х48 -1шт
Направляющая 60х20 - 1шт
Крышка универсальная - 1шт
Панель PROFI или MEDIUM - 1шт
Крепление скоба+болт М6х40 - 4шт
Заклепки, окрашенные в цвет ограждения</t>
  </si>
  <si>
    <t>Остальные цвета по запросу согласно RAL с наценкой  10 %, в количестве не менее 300 погонных метров.</t>
  </si>
  <si>
    <t>Заказы в стандартных цветах менее 150 погонных метров не принимаются.</t>
  </si>
  <si>
    <t>желтый RAL 1021, красный RAL 3020, вишневый RAL 3005, коричневый RAL 8017, черный RAL 9005, бежевый RAL 1014 .</t>
  </si>
  <si>
    <t>Cтандартные цвета по RAL: 1014, 1021, 3005, 3020, 5005, 6005, 7040, 8017, 9005, 9016.</t>
  </si>
  <si>
    <t>Габаритные размеры, м</t>
  </si>
  <si>
    <t>Вес,кг</t>
  </si>
  <si>
    <t>пвх</t>
  </si>
  <si>
    <t>2,0*</t>
  </si>
  <si>
    <t>2,0**</t>
  </si>
  <si>
    <t>3,0***</t>
  </si>
  <si>
    <t>4,0***</t>
  </si>
  <si>
    <t>4,0**</t>
  </si>
  <si>
    <t>5,0**</t>
  </si>
  <si>
    <t>Комплект ворот и калитки Profi, Премиум и Премиум плюс</t>
  </si>
  <si>
    <t>нерж.</t>
  </si>
  <si>
    <t>цены действительны с</t>
  </si>
  <si>
    <t>51мм</t>
  </si>
  <si>
    <t>Крепление временного ограждения</t>
  </si>
  <si>
    <t>Декоративное полотно изготавливается под заказа в 4-х цветах: RAL1014, RAL3005, RAL6005, RAL8017</t>
  </si>
  <si>
    <t xml:space="preserve"> Декоративное полотно</t>
  </si>
  <si>
    <t xml:space="preserve">Укосина </t>
  </si>
  <si>
    <r>
      <t xml:space="preserve">Крепление хомут 51 мм </t>
    </r>
    <r>
      <rPr>
        <sz val="12"/>
        <rFont val="Arial"/>
        <family val="2"/>
        <charset val="204"/>
      </rPr>
      <t>(укомплектован антивандальными гайками М6)</t>
    </r>
  </si>
  <si>
    <t>51 мм</t>
  </si>
  <si>
    <t>Усиление фланца косынками</t>
  </si>
  <si>
    <t>Столб + заглушка</t>
  </si>
  <si>
    <t>90*55*3000</t>
  </si>
  <si>
    <t>90*55*4000</t>
  </si>
  <si>
    <t>с полимерным покрытием</t>
  </si>
  <si>
    <t>РЕ</t>
  </si>
  <si>
    <t>РЕ двс</t>
  </si>
  <si>
    <t>цинк</t>
  </si>
  <si>
    <t>цинк/РЕ</t>
  </si>
  <si>
    <t>полимер 
RAL6005, RAL3005, RAL8017</t>
  </si>
  <si>
    <r>
      <rPr>
        <b/>
        <sz val="24"/>
        <color rgb="FFFF0000"/>
        <rFont val="Arial"/>
        <family val="2"/>
        <charset val="204"/>
      </rPr>
      <t>Откатные ворота</t>
    </r>
    <r>
      <rPr>
        <b/>
        <sz val="24"/>
        <rFont val="Arial"/>
        <family val="2"/>
        <charset val="204"/>
      </rPr>
      <t xml:space="preserve"> Profi можно заказать в исполнении с механическим замком, данную опцию необходимо указывать при размещении заказа на производство, к стоимости ворот добавится стоимость замка</t>
    </r>
  </si>
  <si>
    <t>прямой край</t>
  </si>
  <si>
    <t>фигурный край</t>
  </si>
  <si>
    <t>Штакетник 
М/П-образный</t>
  </si>
  <si>
    <t>РЕ 0,5 GL</t>
  </si>
  <si>
    <t>Print 0,5</t>
  </si>
  <si>
    <t>PE dp 0,45</t>
  </si>
  <si>
    <t>Print dp 0,45</t>
  </si>
  <si>
    <t>6005, 9005, 9010</t>
  </si>
  <si>
    <t>G90Z-M20</t>
  </si>
  <si>
    <t>Наконечник прямой 550 мм</t>
  </si>
  <si>
    <t>Наконечник прямой 950 мм</t>
  </si>
  <si>
    <t>Штакетник PE 0,5 GL/ dp®/ Print - М/П-образный</t>
  </si>
  <si>
    <t xml:space="preserve">Штакетник PE 0,45 dp / Print 0,45 dp- Круглый/Прямоугольный </t>
  </si>
  <si>
    <r>
      <t xml:space="preserve">Крепление для рулонной сетки
</t>
    </r>
    <r>
      <rPr>
        <sz val="16"/>
        <rFont val="Arial"/>
        <family val="2"/>
        <charset val="204"/>
      </rPr>
      <t>(пластиковая скоба+саморез 4,8х35)</t>
    </r>
  </si>
  <si>
    <r>
      <t xml:space="preserve">Сетка сварная рулонная Metallurgica Frigerio S.p.A. Europlast 
</t>
    </r>
    <r>
      <rPr>
        <sz val="18"/>
        <rFont val="Arial"/>
        <family val="2"/>
        <charset val="204"/>
      </rPr>
      <t>цвет зеленый*</t>
    </r>
  </si>
  <si>
    <r>
      <t xml:space="preserve">Сетка сварная рулонная                                    Moreda Rivere Trafilliers                               Jarditor                                                                                                                                  </t>
    </r>
    <r>
      <rPr>
        <sz val="18"/>
        <rFont val="Arial"/>
        <family val="2"/>
        <charset val="204"/>
      </rPr>
      <t>цвет зеленый*</t>
    </r>
  </si>
  <si>
    <r>
      <t xml:space="preserve">Крепление для рулонной сетки
</t>
    </r>
    <r>
      <rPr>
        <sz val="18"/>
        <rFont val="Arial"/>
        <family val="2"/>
        <charset val="204"/>
      </rPr>
      <t>(пластиковая скоба+саморез 4,8х35)</t>
    </r>
  </si>
  <si>
    <r>
      <t xml:space="preserve">Цена за 1 п.м. комплекта прямого не замкнутого участка (столб 62*55 под бетон+панель+крепеж L-кронштейн), руб. </t>
    </r>
    <r>
      <rPr>
        <b/>
        <sz val="18"/>
        <color indexed="10"/>
        <rFont val="Arial"/>
        <family val="2"/>
        <charset val="204"/>
      </rPr>
      <t>Внимание! Расчет теоретический.</t>
    </r>
    <r>
      <rPr>
        <b/>
        <sz val="18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</si>
  <si>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r>
      <rPr>
        <b/>
        <sz val="24"/>
        <rFont val="Arial"/>
        <family val="2"/>
        <charset val="204"/>
      </rPr>
      <t>Комплект ворот включает в себя:</t>
    </r>
    <r>
      <rPr>
        <sz val="24"/>
        <rFont val="Arial"/>
        <family val="2"/>
        <charset val="204"/>
      </rPr>
      <t xml:space="preserve">
2 створки ворот, 2 опорных столба, регулируемые петли, угол открывания 180 град, замок Locinox, притворная планка, 2 ригеля Locinox для фиксации створок в землю </t>
    </r>
    <r>
      <rPr>
        <b/>
        <sz val="24"/>
        <rFont val="Arial"/>
        <family val="2"/>
        <charset val="204"/>
      </rPr>
      <t xml:space="preserve">
Комплект калитки включает в себя:</t>
    </r>
    <r>
      <rPr>
        <sz val="24"/>
        <rFont val="Arial"/>
        <family val="2"/>
        <charset val="204"/>
      </rPr>
      <t xml:space="preserve">
створка, 2 столба, регулируемые петли, угол открывания 180 град, притворная планка, замок Locinox</t>
    </r>
  </si>
  <si>
    <t>Комплект включает в себя :
Рейка оцинкованная зубчатая ROA8
Профиль С
Болт с полукруглой головкой
Пластина закладная для профиля С
Скоба для профиля С</t>
  </si>
  <si>
    <t xml:space="preserve">Комплект включает в себя:
Привод Nice (Италия) Road400KIT
Встроенный блок управления
Встроенный радиоприемник
SMXI2 пульта Flo2R-S
Зубчатую рейку оцинкованную Alutech с креплением (Рейка оцинкованная зубчатая ROA8, болт с полукруглой головкой, профиль С, пластина закладная для профиля С, Скоба для профиля С)                                                          </t>
  </si>
  <si>
    <r>
      <rPr>
        <b/>
        <sz val="24"/>
        <rFont val="Arial Cyr"/>
        <charset val="204"/>
      </rPr>
      <t xml:space="preserve">Ворота: </t>
    </r>
    <r>
      <rPr>
        <sz val="24"/>
        <rFont val="Arial Cyr"/>
        <charset val="204"/>
      </rPr>
      <t xml:space="preserve">2 створки, 2 опорных столба, петли Locinox GAM12, угол открывания 130 град, замок Locinox LAKZ P1, ригель, притворная платка
</t>
    </r>
    <r>
      <rPr>
        <b/>
        <sz val="24"/>
        <rFont val="Arial Cyr"/>
        <charset val="204"/>
      </rPr>
      <t>Калитка:</t>
    </r>
    <r>
      <rPr>
        <sz val="24"/>
        <rFont val="Arial Cyr"/>
        <charset val="204"/>
      </rPr>
      <t xml:space="preserve"> 1 створка, 2 опорных столба, петли Locinox GAM12, угол открывания 130 град, замок Locinox LAKZ P1, притворная платка</t>
    </r>
  </si>
  <si>
    <t>Панель MEDIUM 
ЦИНК                                                                                                                                                                                                                                                                                                                                                                                                                                                                                                                                                                                                                                                          ячейка основная 200х55 мм
диаметр прутка  3,8 мм</t>
  </si>
  <si>
    <r>
      <rPr>
        <b/>
        <sz val="18"/>
        <rFont val="Arial"/>
        <family val="2"/>
        <charset val="204"/>
      </rPr>
      <t>Металлический штакетник Круглый и Прямоугольный</t>
    </r>
    <r>
      <rPr>
        <sz val="18"/>
        <rFont val="Arial"/>
        <family val="2"/>
        <charset val="204"/>
      </rPr>
      <t xml:space="preserve"> изготавливается в любом количестве. Все цены на металлический штакетник указаны за 1 погонный метр</t>
    </r>
  </si>
  <si>
    <r>
      <t>Металлический штакетник М и П-образный</t>
    </r>
    <r>
      <rPr>
        <sz val="18"/>
        <rFont val="Arial"/>
        <family val="2"/>
        <charset val="204"/>
      </rPr>
      <t xml:space="preserve"> изготавливается только в количестве, кратном 10-ти единицам.</t>
    </r>
  </si>
  <si>
    <t xml:space="preserve">Исключение составляет штакетник в покрытиях РЕ и PE dpGL (цвет RAL3005,6005,8017),Print (цвет Antique Dud и Golden Dub) - в данных </t>
  </si>
  <si>
    <t>Комплект: Промышленный замок в металлическом корпусе*</t>
  </si>
  <si>
    <t>Замок LAKQ6060 (4040) U2**</t>
  </si>
  <si>
    <t>6005, 9005, Алюминий</t>
  </si>
  <si>
    <t>Ответная планка SAKL QF</t>
  </si>
  <si>
    <t>40мм</t>
  </si>
  <si>
    <t>Упорная часть</t>
  </si>
  <si>
    <t>Алюминий с резиновыми полосами</t>
  </si>
  <si>
    <t>Комплект: Электро механический замок в металлическом корпусе*</t>
  </si>
  <si>
    <t>LEKQ6060 U4</t>
  </si>
  <si>
    <t>Комплект : Замок в полиамидном корпусе*</t>
  </si>
  <si>
    <t>LAKZ6060 (4040) P1**</t>
  </si>
  <si>
    <t>Комплект: Врезной замок HYBRID*</t>
  </si>
  <si>
    <t>Цвет алюминий</t>
  </si>
  <si>
    <t>Комплект: Замок для откатных ворот*</t>
  </si>
  <si>
    <t>LSKZ6060 U2</t>
  </si>
  <si>
    <t>&gt;</t>
  </si>
  <si>
    <t>Нержавеющая сталь</t>
  </si>
  <si>
    <t>Алюминий</t>
  </si>
  <si>
    <t xml:space="preserve">Комплект: Замок для калитки Medium из 51 трубы* </t>
  </si>
  <si>
    <t xml:space="preserve">Ответная планка Medium RAL 6005 </t>
  </si>
  <si>
    <t>только для калитки Medium из 51 трубы</t>
  </si>
  <si>
    <t>Ответная планка из полиамида</t>
  </si>
  <si>
    <t>SMKL QF</t>
  </si>
  <si>
    <t>GBMU4DSHIELD12</t>
  </si>
  <si>
    <t>GBMU4DSHIELD16</t>
  </si>
  <si>
    <t xml:space="preserve"> GAM12 130 мм </t>
  </si>
  <si>
    <t xml:space="preserve"> GAM12 150 мм </t>
  </si>
  <si>
    <t xml:space="preserve">Полиэтилен армированный стекловолокном                     </t>
  </si>
  <si>
    <t>Доводчик 250</t>
  </si>
  <si>
    <t>Доводчик гидравлический</t>
  </si>
  <si>
    <t>MAMMOTH</t>
  </si>
  <si>
    <t>Регулируемые скорость и сила закрытия</t>
  </si>
  <si>
    <t>Доводчик регулируемый (без рельсы)</t>
  </si>
  <si>
    <r>
      <t>*Стоимость комплекта складывается из замка (ручки, цилиндр, ключи – отдельно не продаются) и ответной планки
**6060 (4040) – поддерживается на складе для 60 и 40 профиля
Дополнительно можно заказать любую продукцию из каталога Locinox, сроки поставки и цену узнавайте в отделах продаж</t>
    </r>
    <r>
      <rPr>
        <sz val="11"/>
        <color indexed="8"/>
        <rFont val="Arial"/>
        <family val="2"/>
        <charset val="204"/>
      </rPr>
      <t xml:space="preserve">
</t>
    </r>
  </si>
  <si>
    <t>Рекоменд. розничная цена, п.м./руб.</t>
  </si>
  <si>
    <t>Крепление скоба (саморез 4,8*35)</t>
  </si>
  <si>
    <r>
      <t xml:space="preserve">Крепление хомут 62*55 для наконечника </t>
    </r>
    <r>
      <rPr>
        <sz val="12"/>
        <rFont val="Arial"/>
        <family val="2"/>
        <charset val="204"/>
      </rPr>
      <t>(укомплектован антивандальными гайками М6)</t>
    </r>
  </si>
  <si>
    <t>Струна оцинкованная 2,5 мм для крепления СББ/ПББ</t>
  </si>
  <si>
    <t>Проволока оцинкованная 1,6 мм для крепления СББ/ПББ к струне</t>
  </si>
  <si>
    <t>Комплект ворот и калитки Medium NoLock (без замка)</t>
  </si>
  <si>
    <t>Комплект ворот и калитки Medium Lock (с замком)</t>
  </si>
  <si>
    <t xml:space="preserve">Комплект ворот и калитки Эконом </t>
  </si>
  <si>
    <r>
      <rPr>
        <b/>
        <sz val="24"/>
        <rFont val="Arial Cyr"/>
        <charset val="204"/>
      </rPr>
      <t xml:space="preserve">Ворота: </t>
    </r>
    <r>
      <rPr>
        <sz val="24"/>
        <rFont val="Arial Cyr"/>
        <charset val="204"/>
      </rPr>
      <t xml:space="preserve">2 створки, 2 опорных столба, петли  Locinox GAM12, угол открывания 130 град, ригель, притворная планка
</t>
    </r>
    <r>
      <rPr>
        <b/>
        <sz val="24"/>
        <rFont val="Arial Cyr"/>
        <charset val="204"/>
      </rPr>
      <t xml:space="preserve">Калитка: </t>
    </r>
    <r>
      <rPr>
        <sz val="24"/>
        <rFont val="Arial Cyr"/>
        <charset val="204"/>
      </rPr>
      <t>1</t>
    </r>
    <r>
      <rPr>
        <b/>
        <sz val="24"/>
        <rFont val="Arial Cyr"/>
        <charset val="204"/>
      </rPr>
      <t xml:space="preserve"> </t>
    </r>
    <r>
      <rPr>
        <sz val="24"/>
        <rFont val="Arial Cyr"/>
        <charset val="204"/>
      </rPr>
      <t>створка, 2 опорных столба, петли  Locinox GAM12, притворная планка, угол открывания 130 град</t>
    </r>
  </si>
  <si>
    <r>
      <rPr>
        <b/>
        <sz val="24"/>
        <rFont val="Arial Cyr"/>
        <charset val="204"/>
      </rPr>
      <t xml:space="preserve">Ворота: </t>
    </r>
    <r>
      <rPr>
        <sz val="24"/>
        <rFont val="Arial Cyr"/>
        <charset val="204"/>
      </rPr>
      <t xml:space="preserve">2 створки, 2 опорных столба, петли  Locinox GAM12, угол открывания 130 град, притворная планка, ригель
</t>
    </r>
    <r>
      <rPr>
        <b/>
        <sz val="24"/>
        <rFont val="Arial Cyr"/>
        <charset val="204"/>
      </rPr>
      <t xml:space="preserve">Калитка: </t>
    </r>
    <r>
      <rPr>
        <sz val="24"/>
        <rFont val="Arial Cyr"/>
        <charset val="204"/>
      </rPr>
      <t>1</t>
    </r>
    <r>
      <rPr>
        <b/>
        <sz val="24"/>
        <rFont val="Arial Cyr"/>
        <charset val="204"/>
      </rPr>
      <t xml:space="preserve"> </t>
    </r>
    <r>
      <rPr>
        <sz val="24"/>
        <rFont val="Arial Cyr"/>
        <charset val="204"/>
      </rPr>
      <t>створка, 2 опорных столба, петли  Locinox GAM12, притворная планка, угол открывания 130 град</t>
    </r>
  </si>
  <si>
    <t xml:space="preserve">Карта
Medium  (без ребер жесткости) </t>
  </si>
  <si>
    <t>NoLock (без замка)</t>
  </si>
  <si>
    <t>Lock (с замком)</t>
  </si>
  <si>
    <t>Карта
Medium         (без ребер жесткости)</t>
  </si>
  <si>
    <t>Комплект ворот включает в себя:
-Раму ворот составную с заполнением для удобства транспортировки;
-2 опорных столба П-образных 60*60 или 80*80 в зависимости от веса ворот;
-Роликовую систему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анкетные болты.</t>
  </si>
  <si>
    <t xml:space="preserve">Стандартные цвета:  зеленый RAL 6005, синий RAL 5005,  серый RAL 7040, белый RAL 9016, желтый RAL 1021, красный RAL 3020, вишневый RAL 3005, </t>
  </si>
  <si>
    <t xml:space="preserve">коричневый RAL 8017, черный RAL 9005, бежевый RAL 1014      </t>
  </si>
  <si>
    <t>Панель  860*1600 (1970)мм - 3 шт. 
Cтолб  62*55*2500 мм - 1 шт.        
Направляющая  60*20*2500 2 шт.  
Т- кронштейн - 2 шт.</t>
  </si>
  <si>
    <t>Труба 40*20*2500 мм - 2 шт.   
Cтолб 62*55*2500 (3000) мм  - 1 шт. 
Х-кронштейн - 2 шт.</t>
  </si>
  <si>
    <t>Панель  860*1600 (1970)мм - 3 шт.
Направляющая  60*20*2500 мм  - 2 шт.
Стойка 84*48*2500 (3000) мм  - 2 шт.
Крышка универсальная - 1 шт.</t>
  </si>
  <si>
    <t>Панель  860*1600 мм - 3 шт.
Направляющая  60*20*2500 мм  - 3 шт.
Декоративное полотно 360*2500 мм -1 шт.
Стойка 84*48*2500 (3000) мм  - 2 шт.
Крышка универсальная - 1 шт.</t>
  </si>
  <si>
    <t>NoLock 
(без замка)</t>
  </si>
  <si>
    <t>Lock
(с замком)</t>
  </si>
  <si>
    <t>Калитка 
Временного ограждения</t>
  </si>
  <si>
    <t>Ворота 
Временного ограждения</t>
  </si>
  <si>
    <t>Комплект ворот и калитки Временного ограждения</t>
  </si>
  <si>
    <r>
      <rPr>
        <b/>
        <sz val="24"/>
        <rFont val="Arial Cyr"/>
        <charset val="204"/>
      </rPr>
      <t>Ворота:</t>
    </r>
    <r>
      <rPr>
        <sz val="24"/>
        <rFont val="Arial Cyr"/>
        <charset val="204"/>
      </rPr>
      <t xml:space="preserve"> 2 створки, 4 петли Locinox GBM12-150, 2 опорных ролика, 1 фиксатор створки
</t>
    </r>
    <r>
      <rPr>
        <b/>
        <sz val="24"/>
        <rFont val="Arial Cyr"/>
        <charset val="204"/>
      </rPr>
      <t>Калитка:</t>
    </r>
    <r>
      <rPr>
        <sz val="24"/>
        <rFont val="Arial Cyr"/>
        <charset val="204"/>
      </rPr>
      <t xml:space="preserve"> 1 створка, 2 петли Locinox GBM12-150, 1 фиксатор створки</t>
    </r>
  </si>
  <si>
    <r>
      <t>Элементы панельных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</si>
  <si>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Модульные ограждения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</si>
  <si>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Временные ограждения, Рулонная сетка и Металлический Штакетник Grand Line</t>
    </r>
    <r>
      <rPr>
        <b/>
        <vertAlign val="superscript"/>
        <sz val="28"/>
        <color indexed="10"/>
        <rFont val="Calibri"/>
        <family val="2"/>
        <charset val="204"/>
      </rPr>
      <t>®</t>
    </r>
  </si>
  <si>
    <r>
      <t>Откатные ворота Grand Line</t>
    </r>
    <r>
      <rPr>
        <b/>
        <vertAlign val="superscript"/>
        <sz val="40"/>
        <color indexed="10"/>
        <rFont val="Calibri"/>
        <family val="2"/>
        <charset val="204"/>
      </rPr>
      <t>®</t>
    </r>
  </si>
  <si>
    <r>
      <t>Распашные ворота и калитки Grand Line</t>
    </r>
    <r>
      <rPr>
        <b/>
        <vertAlign val="superscript"/>
        <sz val="40"/>
        <color indexed="10"/>
        <rFont val="Arial Cyr"/>
        <charset val="204"/>
      </rPr>
      <t>®</t>
    </r>
  </si>
  <si>
    <r>
      <t xml:space="preserve">Сетка сварная рулонная 
Betafence Pantanet light 
</t>
    </r>
    <r>
      <rPr>
        <sz val="18"/>
        <rFont val="Arial"/>
        <family val="2"/>
        <charset val="204"/>
      </rPr>
      <t xml:space="preserve">цвет зеленый* </t>
    </r>
    <r>
      <rPr>
        <b/>
        <sz val="18"/>
        <color rgb="FFFF0000"/>
        <rFont val="Arial"/>
        <family val="2"/>
        <charset val="204"/>
      </rPr>
      <t>АКЦИЯ**</t>
    </r>
  </si>
  <si>
    <t>** - условия акции уточняйте у менеджера</t>
  </si>
  <si>
    <t>* - поддерживаются на складе</t>
  </si>
  <si>
    <t>Classic</t>
  </si>
  <si>
    <t>Super</t>
  </si>
  <si>
    <r>
      <t xml:space="preserve">Brico </t>
    </r>
    <r>
      <rPr>
        <b/>
        <sz val="18"/>
        <color rgb="FFFF0000"/>
        <rFont val="Arial"/>
        <family val="2"/>
        <charset val="204"/>
      </rPr>
      <t>NEW</t>
    </r>
  </si>
  <si>
    <t>Саморез металл-металл 5,5х19М бур.№3</t>
  </si>
  <si>
    <t>12 мл.</t>
  </si>
  <si>
    <t>Корректор для ремонта царапин цвета по RAL</t>
  </si>
  <si>
    <t>*** - поддерживается на складе в полимерном покрытии: цвет зеленый RAL 6005 , чёрный RAL 9005</t>
  </si>
  <si>
    <r>
      <t xml:space="preserve">Засов для калиток и ворот Profi </t>
    </r>
    <r>
      <rPr>
        <b/>
        <sz val="24"/>
        <color rgb="FFFF0000"/>
        <rFont val="Arial Cyr"/>
        <charset val="204"/>
      </rPr>
      <t>NEW</t>
    </r>
  </si>
  <si>
    <t>Засов в сборе: 
• осн. кронштейн на прямоугольн./квадрат. профиль–1 шт
• ответная скоба на прямоугольн./квадрат. профиль–1 шт
• ось – ригель 20 мм–1 шт
• ручка – 1 шт
Саморезы 5,5 х 19 для крепления кронштейна и скобы–8 шт</t>
  </si>
  <si>
    <t>Панель PROFI С ПОЛИМЕРНЫМ ПОКРЫТИЕМ 
ячейка основная 
200х55 мм 
диаметр прутка 
5 мм</t>
  </si>
  <si>
    <t>Панель PROFI
ЦИНК                                                                                                                                                                                                                                                                                                           ячейка основная 200х55 мм
диаметр прутка  4,8 мм</t>
  </si>
  <si>
    <t>При заказе  Панелей с ячейкой 200*50 к стоимости Панелей с ячейкой 200*55 применяется коэффициент 1,07</t>
  </si>
  <si>
    <t>При заказе  Панелей с ячейкой 200*60 к стоимости Панелей с ячейкой 200*55 применяется коэффициент 0,95</t>
  </si>
  <si>
    <t>2,03*2,5</t>
  </si>
  <si>
    <t>Крепление скоба саморез</t>
  </si>
  <si>
    <t>ВНИМАНИЕ! Расчет погонного метра панели LIGHT производится со столбами 51мм и креплением скоба+саморез</t>
  </si>
  <si>
    <t xml:space="preserve">Замок LTKZ 5151 P1L </t>
  </si>
  <si>
    <t>При заказе  Панелей с ячейкой 100*50 к стоимости Панелей с ячейкой 200*50 применяется коэффициент 1,20</t>
  </si>
  <si>
    <t>При заказе  Панелей с ячейкой 150*50 к стоимости Панелей с ячейкой 200*50 применяется коэффициент 1,10</t>
  </si>
  <si>
    <t>Возможно производство откатных ворот с заполнением панелью Bastion, в данном случае к стоимости откатных ворот Profi применяется наценка 10%</t>
  </si>
  <si>
    <t>Возможно производство калиток и  ворот с заполнением панелью Bastion, в данном случае к стоимости калиток и  ворот Profi применяется наценка 10%</t>
  </si>
  <si>
    <t>Комплект для автоматизации распашных ворот  3,0 - 9,0м</t>
  </si>
  <si>
    <t>Возможно производство калиток и ворот Protect, в данном случае к стоимости калиток и ворот Profi применяется наценка 15%</t>
  </si>
  <si>
    <r>
      <t xml:space="preserve">Винтовая опора без фланца 1,2 м
</t>
    </r>
    <r>
      <rPr>
        <sz val="16"/>
        <rFont val="Arial"/>
        <family val="2"/>
        <charset val="204"/>
      </rPr>
      <t>114 (d опоры) х 2,5 (толщ. стали) мм</t>
    </r>
  </si>
  <si>
    <r>
      <t xml:space="preserve">Винтовая опора без фланца 1,5 м
</t>
    </r>
    <r>
      <rPr>
        <sz val="16"/>
        <rFont val="Arial"/>
        <family val="2"/>
        <charset val="204"/>
      </rPr>
      <t>114 (d опоры) х 2,5 (толщ. стали) мм</t>
    </r>
  </si>
  <si>
    <r>
      <t xml:space="preserve">Винтовая опора на фланце 1,5 м 
</t>
    </r>
    <r>
      <rPr>
        <sz val="16"/>
        <rFont val="Arial"/>
        <family val="2"/>
        <charset val="204"/>
      </rPr>
      <t>76 (d опоры) х 210 (d фланца) х 2,5 (толщ. стали) мм</t>
    </r>
  </si>
  <si>
    <r>
      <t xml:space="preserve">Винтовая опора на фланце 1,8 м
</t>
    </r>
    <r>
      <rPr>
        <sz val="16"/>
        <rFont val="Arial"/>
        <family val="2"/>
        <charset val="204"/>
      </rPr>
      <t>76 (d опоры) х 210 (d фланца) х 3,0 (толщ. стали) мм</t>
    </r>
  </si>
  <si>
    <r>
      <t xml:space="preserve">Инструмент для монтажа винтопор </t>
    </r>
    <r>
      <rPr>
        <b/>
        <sz val="16"/>
        <color rgb="FFFF0000"/>
        <rFont val="Arial"/>
        <family val="2"/>
        <charset val="204"/>
      </rPr>
      <t>NEW</t>
    </r>
  </si>
  <si>
    <t>1,03*2,5</t>
  </si>
  <si>
    <t>2,43*2,5</t>
  </si>
  <si>
    <t>Страна-производитель</t>
  </si>
  <si>
    <t>Италия</t>
  </si>
  <si>
    <t>Испания</t>
  </si>
  <si>
    <t>Бельгия</t>
  </si>
  <si>
    <r>
      <t>1,53*2,5</t>
    </r>
    <r>
      <rPr>
        <sz val="22"/>
        <color rgb="FFFF0000"/>
        <rFont val="Arial"/>
        <family val="2"/>
        <charset val="204"/>
      </rPr>
      <t>**</t>
    </r>
  </si>
  <si>
    <r>
      <t>1,73*2,5</t>
    </r>
    <r>
      <rPr>
        <sz val="22"/>
        <color rgb="FFFF0000"/>
        <rFont val="Arial"/>
        <family val="2"/>
        <charset val="204"/>
      </rPr>
      <t>**</t>
    </r>
  </si>
  <si>
    <r>
      <t>2,03*2,5</t>
    </r>
    <r>
      <rPr>
        <sz val="22"/>
        <color rgb="FFFF0000"/>
        <rFont val="Arial"/>
        <family val="2"/>
        <charset val="204"/>
      </rPr>
      <t>**</t>
    </r>
  </si>
  <si>
    <r>
      <t>1,53*2,5</t>
    </r>
    <r>
      <rPr>
        <sz val="22"/>
        <color rgb="FFFF0000"/>
        <rFont val="Arial"/>
        <family val="2"/>
        <charset val="204"/>
      </rPr>
      <t>***</t>
    </r>
  </si>
  <si>
    <r>
      <t>1,73*2,5</t>
    </r>
    <r>
      <rPr>
        <sz val="22"/>
        <color rgb="FFFF0000"/>
        <rFont val="Arial"/>
        <family val="2"/>
        <charset val="204"/>
      </rPr>
      <t>***</t>
    </r>
  </si>
  <si>
    <r>
      <t>1,73*3,0</t>
    </r>
    <r>
      <rPr>
        <sz val="22"/>
        <color rgb="FFFF0000"/>
        <rFont val="Arial"/>
        <family val="2"/>
        <charset val="204"/>
      </rPr>
      <t>**</t>
    </r>
  </si>
  <si>
    <r>
      <t>2,03*2,5</t>
    </r>
    <r>
      <rPr>
        <sz val="22"/>
        <color rgb="FFFF0000"/>
        <rFont val="Arial"/>
        <family val="2"/>
        <charset val="204"/>
      </rPr>
      <t>***</t>
    </r>
  </si>
  <si>
    <r>
      <t>2,03*3,0</t>
    </r>
    <r>
      <rPr>
        <sz val="22"/>
        <color rgb="FFFF0000"/>
        <rFont val="Arial"/>
        <family val="2"/>
        <charset val="204"/>
      </rPr>
      <t>**</t>
    </r>
  </si>
  <si>
    <t xml:space="preserve">* - поддерживаются на складе в цинке
</t>
  </si>
  <si>
    <t>** - поддерживаются на складе в 6005</t>
  </si>
  <si>
    <t>1,03*2,5****</t>
  </si>
  <si>
    <t>2,03*2,5****</t>
  </si>
  <si>
    <t>2,43*2,5****</t>
  </si>
  <si>
    <t>Панель временного ограждения 1,74х3,1 Zn - 1 шт</t>
  </si>
  <si>
    <t>Столб временного ограждения 51х1,2х1950 Zn - 2 шт</t>
  </si>
  <si>
    <t>51х1,2х1950</t>
  </si>
  <si>
    <t>1,74х3,1</t>
  </si>
  <si>
    <r>
      <t xml:space="preserve">Секция временного ограждения (комплект) </t>
    </r>
    <r>
      <rPr>
        <b/>
        <sz val="18"/>
        <color rgb="FFFF0000"/>
        <rFont val="Arial"/>
        <family val="2"/>
        <charset val="204"/>
      </rPr>
      <t>NEW</t>
    </r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</si>
  <si>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и резьбовыми втулками в профиле 90*55 и 62*55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</si>
  <si>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Крепление скоба Medium винт М6х30 </t>
  </si>
  <si>
    <t>0,5/2,5</t>
  </si>
  <si>
    <r>
      <t xml:space="preserve">PE 0,45 </t>
    </r>
    <r>
      <rPr>
        <b/>
        <sz val="18"/>
        <color rgb="FFFF0000"/>
        <rFont val="Arial"/>
        <family val="2"/>
        <charset val="204"/>
      </rPr>
      <t>NEW</t>
    </r>
  </si>
  <si>
    <t>Длина, м
min/max</t>
  </si>
  <si>
    <t>Цвет/покрытие</t>
  </si>
  <si>
    <t xml:space="preserve">Проушины для навесного замка </t>
  </si>
  <si>
    <t>Проушины – 2 шт
Саморезы 4,8 х 35 – 6 шт</t>
  </si>
  <si>
    <t>зеленый RAL 6005
черный RAL 9005</t>
  </si>
  <si>
    <t>90*55*1,6</t>
  </si>
  <si>
    <t xml:space="preserve">Стандартные цвета PROTECT: зеленый RAL 6005, синий RAL 5005,  серый RAL 7040, белый RAL 9016, 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</si>
  <si>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с полимерным покрытием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и резьбовыми втулками в профиле 60*40, 62*55, 90*55 и 60*80 и 80*80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заглушкой****                                                                                                                                                                                                                                       </t>
  </si>
  <si>
    <t>**** - столб высотой 2м, 2,20м и 2,50м поддерживается на складке в цвете RAL8017</t>
  </si>
  <si>
    <t>78,5 х 40,5</t>
  </si>
  <si>
    <r>
      <t>Наконечник для уличного освещения</t>
    </r>
    <r>
      <rPr>
        <b/>
        <sz val="16"/>
        <color rgb="FFFF0000"/>
        <rFont val="Arial"/>
        <family val="2"/>
        <charset val="204"/>
      </rPr>
      <t xml:space="preserve"> NEW</t>
    </r>
  </si>
  <si>
    <t>RAL8004</t>
  </si>
  <si>
    <r>
      <t>Velur® 20</t>
    </r>
    <r>
      <rPr>
        <b/>
        <sz val="18"/>
        <color rgb="FFFF0000"/>
        <rFont val="Arial"/>
        <family val="2"/>
        <charset val="204"/>
      </rPr>
      <t xml:space="preserve"> NEW</t>
    </r>
  </si>
  <si>
    <t>покрытиях штакетник изготавливается в любом количестве. Все цены на металлический штакетник указаны за 1 погонный метр.</t>
  </si>
  <si>
    <t>цены действительны с 04.04.2016</t>
  </si>
  <si>
    <t>62*55*1,4</t>
  </si>
  <si>
    <t>Панель LIGHT С ПОЛИМЕРНЫМ ПОКРЫТИЕМ ячейка основная 200х55 мм  диаметр прутка 3,5 мм</t>
  </si>
  <si>
    <t>62*55*1500</t>
  </si>
  <si>
    <t>62*55*2500</t>
  </si>
  <si>
    <r>
      <t xml:space="preserve">Клипсатор
</t>
    </r>
    <r>
      <rPr>
        <sz val="16"/>
        <rFont val="Arial"/>
        <family val="2"/>
        <charset val="204"/>
      </rPr>
      <t>используется для обжима соединительных клипс при стыковке панелей</t>
    </r>
  </si>
  <si>
    <t>Barrier</t>
  </si>
  <si>
    <t>**** - поддерживаются на складе в полимерном покрытии: цвет зеленый RAL 6005, коричневый RAL 8017</t>
  </si>
  <si>
    <t>8017, 6005, 3005</t>
  </si>
  <si>
    <t>Antique Dub, Golden Dub</t>
  </si>
  <si>
    <t>RAL 8017
RR32</t>
  </si>
  <si>
    <t>RR32, RAL 8017, 6005, 5005,3005,7024</t>
  </si>
  <si>
    <t>Цвет, RAL</t>
  </si>
  <si>
    <r>
      <rPr>
        <b/>
        <sz val="18"/>
        <rFont val="Arial"/>
        <family val="2"/>
        <charset val="204"/>
      </rPr>
      <t>Складской</t>
    </r>
    <r>
      <rPr>
        <sz val="18"/>
        <rFont val="Arial"/>
        <family val="2"/>
        <charset val="204"/>
      </rPr>
      <t xml:space="preserve"> ассортимент М и П-образного штакетника </t>
    </r>
    <r>
      <rPr>
        <b/>
        <sz val="18"/>
        <rFont val="Arial"/>
        <family val="2"/>
        <charset val="204"/>
      </rPr>
      <t xml:space="preserve">РЕ 0,5 GL </t>
    </r>
    <r>
      <rPr>
        <sz val="18"/>
        <rFont val="Arial"/>
        <family val="2"/>
        <charset val="204"/>
      </rPr>
      <t>- 1,5; 1,8; 2м</t>
    </r>
    <r>
      <rPr>
        <b/>
        <sz val="18"/>
        <rFont val="Arial"/>
        <family val="2"/>
        <charset val="204"/>
      </rPr>
      <t>, PE dp® 0,5</t>
    </r>
    <r>
      <rPr>
        <sz val="18"/>
        <rFont val="Arial"/>
        <family val="2"/>
        <charset val="204"/>
      </rPr>
      <t xml:space="preserve"> -1,8; 2м в цветах Ral 3005,6005,8017</t>
    </r>
  </si>
  <si>
    <r>
      <rPr>
        <b/>
        <sz val="18"/>
        <rFont val="Arial"/>
        <family val="2"/>
        <charset val="204"/>
      </rPr>
      <t>Складской</t>
    </r>
    <r>
      <rPr>
        <sz val="18"/>
        <rFont val="Arial"/>
        <family val="2"/>
        <charset val="204"/>
      </rPr>
      <t xml:space="preserve"> ассортимент М и П-образного штакетника </t>
    </r>
    <r>
      <rPr>
        <b/>
        <sz val="18"/>
        <rFont val="Arial"/>
        <family val="2"/>
        <charset val="204"/>
      </rPr>
      <t>Print 0,5</t>
    </r>
    <r>
      <rPr>
        <sz val="18"/>
        <rFont val="Arial"/>
        <family val="2"/>
        <charset val="204"/>
      </rPr>
      <t xml:space="preserve"> - 1,8м в цветах Antique Dub, Golden Dub</t>
    </r>
  </si>
  <si>
    <r>
      <rPr>
        <b/>
        <sz val="18"/>
        <rFont val="Arial"/>
        <family val="2"/>
        <charset val="204"/>
      </rPr>
      <t>Складской</t>
    </r>
    <r>
      <rPr>
        <sz val="18"/>
        <rFont val="Arial"/>
        <family val="2"/>
        <charset val="204"/>
      </rPr>
      <t xml:space="preserve"> ассортимент Круглого и Прямоугольного штакетника </t>
    </r>
    <r>
      <rPr>
        <b/>
        <sz val="18"/>
        <rFont val="Arial"/>
        <family val="2"/>
        <charset val="204"/>
      </rPr>
      <t>Print dp 0,45</t>
    </r>
    <r>
      <rPr>
        <sz val="18"/>
        <rFont val="Arial"/>
        <family val="2"/>
        <charset val="204"/>
      </rPr>
      <t xml:space="preserve"> - 1,5; 1,8; 2м в цветах Antique Dub, Golden Dub, </t>
    </r>
    <r>
      <rPr>
        <b/>
        <sz val="18"/>
        <rFont val="Arial"/>
        <family val="2"/>
        <charset val="204"/>
      </rPr>
      <t>PE dp 0,45</t>
    </r>
    <r>
      <rPr>
        <sz val="18"/>
        <rFont val="Arial"/>
        <family val="2"/>
        <charset val="204"/>
      </rPr>
      <t xml:space="preserve"> - 1,5; 1,8; 2м в цветах Ral 3005,6005,8017</t>
    </r>
  </si>
  <si>
    <t>Панель 
PROFI</t>
  </si>
  <si>
    <t>Планка П-образная заборная 20 (2м)</t>
  </si>
  <si>
    <t>1,5; 1,8; 2м</t>
  </si>
  <si>
    <t>1,8м</t>
  </si>
  <si>
    <r>
      <t xml:space="preserve">Штакетник 
круглый и прямоугольный </t>
    </r>
    <r>
      <rPr>
        <b/>
        <sz val="18"/>
        <color rgb="FFFF0000"/>
        <rFont val="Arial"/>
        <family val="2"/>
        <charset val="204"/>
      </rPr>
      <t>NEW</t>
    </r>
  </si>
  <si>
    <t>Grass</t>
  </si>
  <si>
    <t>PE dp® 0,5</t>
  </si>
  <si>
    <t>Панель PROFI или MEDIUM приваренные к трубе 40х20
Столб 62х55*1,1 - 1шт
Крепление две скобы + болт М6х100 с антивандальными гайками - 2 шт на столб</t>
  </si>
  <si>
    <t>Производство не складских панелей LIGHT принимаются  под заказ от 500 штук. Покраска панелей LIGHT в цвета кроме RAL6005 производится только от 500 шт. ограждения</t>
  </si>
  <si>
    <t>1,63*2,5</t>
  </si>
  <si>
    <t>1,83*2,5</t>
  </si>
  <si>
    <t>2,63*2,5</t>
  </si>
  <si>
    <t>2,83*2,5</t>
  </si>
  <si>
    <t>3,03*2,5</t>
  </si>
  <si>
    <t>2,63*2,4</t>
  </si>
  <si>
    <t>2,83*2,4</t>
  </si>
  <si>
    <t>3,03*2,4</t>
  </si>
  <si>
    <t>3,33*2,4</t>
  </si>
  <si>
    <t>1,73*2,5</t>
  </si>
  <si>
    <t>Панель BASTION 5/6
ЦИНК
 ячейка 200х55 мм диаметр прутка вертикального 5 мм диаметр прутка горизонтального 6 мм</t>
  </si>
  <si>
    <t>Панель BASTION 5/6
ПОЛИМЕРНОЕ ПОКРЫТИЕ
 ячейка 200х55 мм диаметр прутка вертикального 5 мм диаметр прутка горизонтального 6 мм</t>
  </si>
  <si>
    <t>Панель BASTION 6/8 
ЦИНК
ячейка 200х55 мм диаметр прутка вертикального 6 мм диаметр прутка горизонтального 8 мм</t>
  </si>
  <si>
    <t>Панель BASTION 6/8 
ПОЛИМЕРНОЕ ПОКРЫТИЕ
ячейка 200х55 мм диаметр прутка вертикального 6 мм диаметр прутка горизонтального 8 мм</t>
  </si>
  <si>
    <t>Ваша скидка</t>
  </si>
  <si>
    <t>1,03*2,5**</t>
  </si>
  <si>
    <t>2,03*2,5**</t>
  </si>
  <si>
    <t>2,43*2,5**</t>
  </si>
  <si>
    <t>1,53*2,5</t>
  </si>
  <si>
    <t>0,63*2,5**</t>
  </si>
  <si>
    <r>
      <t>1,03*2,5</t>
    </r>
    <r>
      <rPr>
        <sz val="22"/>
        <color rgb="FFFF0000"/>
        <rFont val="Arial"/>
        <family val="2"/>
        <charset val="204"/>
      </rPr>
      <t>**</t>
    </r>
  </si>
  <si>
    <r>
      <t>2,43*2,5</t>
    </r>
    <r>
      <rPr>
        <sz val="22"/>
        <color rgb="FFFF0000"/>
        <rFont val="Arial"/>
        <family val="2"/>
        <charset val="204"/>
      </rPr>
      <t>**</t>
    </r>
  </si>
  <si>
    <t>**** - поддерживаются на складе в полимерном покрытии: цвет RAL 6005, RAL 7040</t>
  </si>
  <si>
    <t>*** - поддерживаются на складе в полимерном покрытии: цвет RAL 6005, RAL 8017</t>
  </si>
  <si>
    <t>1,53*2,5**</t>
  </si>
  <si>
    <t>1,73*2,5**</t>
  </si>
  <si>
    <t xml:space="preserve">Панели Light, Medium, Profi </t>
  </si>
  <si>
    <t>Панели Expert, BASTION 5/6, BASTION 6/8</t>
  </si>
  <si>
    <r>
      <t xml:space="preserve">1,6 </t>
    </r>
    <r>
      <rPr>
        <b/>
        <sz val="24"/>
        <color rgb="FFFF0000"/>
        <rFont val="Arial"/>
        <family val="2"/>
        <charset val="204"/>
      </rPr>
      <t>NEW</t>
    </r>
  </si>
  <si>
    <t>90*55</t>
  </si>
  <si>
    <t>Панель Expert
ПОЛИМЕРНОЕ ПОКРЫТИЕ
ячейка 200х55 мм
диаметр прутка вертикального 6 мм диаметр прутка горизонтального 6 мм</t>
  </si>
  <si>
    <t>Панель Expert
ЦИНК
ячейка 200х55 мм
диаметр прутка вертикального 6 мм диаметр прутка горизонтального 6 мм</t>
  </si>
  <si>
    <t>Комплект: Замок для панельных откатных ворот</t>
  </si>
  <si>
    <t>3,23*2,4</t>
  </si>
  <si>
    <t>3,43*2,4</t>
  </si>
  <si>
    <r>
      <t xml:space="preserve">60*40*1,4 </t>
    </r>
    <r>
      <rPr>
        <b/>
        <sz val="16"/>
        <color rgb="FFFF0000"/>
        <rFont val="Arial"/>
        <family val="2"/>
        <charset val="204"/>
      </rPr>
      <t>NEW</t>
    </r>
  </si>
  <si>
    <t>60*80*2,0</t>
  </si>
  <si>
    <t>80*80*3,0</t>
  </si>
  <si>
    <t>80*80*2,0</t>
  </si>
  <si>
    <t>1/2,5</t>
  </si>
  <si>
    <t>1,5/2,5</t>
  </si>
  <si>
    <t>2/2,5</t>
  </si>
  <si>
    <t>скрыть</t>
  </si>
  <si>
    <t>Крепление скоба болт</t>
  </si>
  <si>
    <t>62*55*3000</t>
  </si>
  <si>
    <t>труба 40х20</t>
  </si>
  <si>
    <t>столб 62х55</t>
  </si>
  <si>
    <t>62*55*1100</t>
  </si>
  <si>
    <t>работы по сварке панель Medium + труба 40х20</t>
  </si>
  <si>
    <t>работы по сварке панель Profi + труба 40х20</t>
  </si>
  <si>
    <t>d51*1,2</t>
  </si>
  <si>
    <t>42*21*1,0</t>
  </si>
  <si>
    <t>Все цены указаны с НДС на складе завода  (71 км от МКАД по Киевскому шоссе, Ворсино)</t>
  </si>
  <si>
    <t>Все цены с НДС на складе завода  (71 км от МКАД по Киевскому шоссе, Ворсино).</t>
  </si>
</sst>
</file>

<file path=xl/styles.xml><?xml version="1.0" encoding="utf-8"?>
<styleSheet xmlns="http://schemas.openxmlformats.org/spreadsheetml/2006/main">
  <numFmts count="11">
    <numFmt numFmtId="43" formatCode="_-* #,##0.00_р_._-;\-* #,##0.00_р_._-;_-* &quot;-&quot;??_р_._-;_-@_-"/>
    <numFmt numFmtId="164" formatCode="0.000"/>
    <numFmt numFmtId="165" formatCode="0.0"/>
    <numFmt numFmtId="166" formatCode="_([$€]* #,##0.00_);_([$€]* \(#,##0.00\);_([$€]* &quot;-&quot;??_);_(@_)"/>
    <numFmt numFmtId="167" formatCode="#,##0.00_р_."/>
    <numFmt numFmtId="168" formatCode="#,##0_р_."/>
    <numFmt numFmtId="169" formatCode="dd/mm/yy;@"/>
    <numFmt numFmtId="170" formatCode="_(* #,##0.00_);_(* \(#,##0.00\);_(* &quot;-&quot;??_);_(@_)"/>
    <numFmt numFmtId="171" formatCode="_([$€]* #,##0.00_);_([$€]* \(#,##0.00\);_([$€]* \-??_);_(@_)"/>
    <numFmt numFmtId="172" formatCode="_(\$* #,##0.00_);_(\$* \(#,##0.00\);_(\$* \-??_);_(@_)"/>
    <numFmt numFmtId="173" formatCode="_-* #,##0.00_р_._-;\-* #,##0.00_р_._-;_-* \-??_р_._-;_-@_-"/>
  </numFmts>
  <fonts count="113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6"/>
      <color indexed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20"/>
      <name val="Arial Cyr"/>
      <charset val="204"/>
    </font>
    <font>
      <b/>
      <sz val="24"/>
      <name val="Arial Cyr"/>
      <charset val="204"/>
    </font>
    <font>
      <sz val="14"/>
      <name val="Arial Cyr"/>
      <charset val="204"/>
    </font>
    <font>
      <b/>
      <sz val="16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2"/>
      <name val="Arial"/>
      <family val="2"/>
      <charset val="204"/>
    </font>
    <font>
      <sz val="20"/>
      <name val="Arial"/>
      <family val="2"/>
      <charset val="204"/>
    </font>
    <font>
      <b/>
      <sz val="22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20"/>
      <color indexed="8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20"/>
      <name val="Arial"/>
      <family val="2"/>
      <charset val="204"/>
    </font>
    <font>
      <b/>
      <sz val="28"/>
      <color indexed="10"/>
      <name val="Arial"/>
      <family val="2"/>
      <charset val="204"/>
    </font>
    <font>
      <sz val="26"/>
      <name val="Arial"/>
      <family val="2"/>
      <charset val="204"/>
    </font>
    <font>
      <b/>
      <sz val="26"/>
      <name val="Arial"/>
      <family val="2"/>
      <charset val="204"/>
    </font>
    <font>
      <b/>
      <sz val="36"/>
      <color indexed="10"/>
      <name val="Arial"/>
      <family val="2"/>
      <charset val="204"/>
    </font>
    <font>
      <sz val="36"/>
      <name val="Arial"/>
      <family val="2"/>
      <charset val="204"/>
    </font>
    <font>
      <sz val="24"/>
      <name val="Arial"/>
      <family val="2"/>
      <charset val="204"/>
    </font>
    <font>
      <b/>
      <sz val="36"/>
      <name val="Arial"/>
      <family val="2"/>
      <charset val="204"/>
    </font>
    <font>
      <b/>
      <sz val="24"/>
      <name val="Arial"/>
      <family val="2"/>
      <charset val="204"/>
    </font>
    <font>
      <sz val="24"/>
      <name val="Arial Cyr"/>
      <charset val="204"/>
    </font>
    <font>
      <sz val="19"/>
      <name val="Arial Cyr"/>
      <charset val="204"/>
    </font>
    <font>
      <sz val="12"/>
      <color indexed="8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8"/>
      <name val="Arial Cyr"/>
      <charset val="204"/>
    </font>
    <font>
      <sz val="16"/>
      <color indexed="8"/>
      <name val="Calibri"/>
      <family val="2"/>
      <charset val="204"/>
    </font>
    <font>
      <b/>
      <sz val="48"/>
      <name val="Arial"/>
      <family val="2"/>
      <charset val="204"/>
    </font>
    <font>
      <sz val="48"/>
      <name val="Arial"/>
      <family val="2"/>
      <charset val="204"/>
    </font>
    <font>
      <b/>
      <sz val="23"/>
      <name val="Arial"/>
      <family val="2"/>
      <charset val="204"/>
    </font>
    <font>
      <b/>
      <sz val="22"/>
      <color indexed="8"/>
      <name val="Arial"/>
      <family val="2"/>
      <charset val="204"/>
    </font>
    <font>
      <sz val="10"/>
      <name val="Arial"/>
      <family val="2"/>
      <charset val="204"/>
    </font>
    <font>
      <sz val="24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color rgb="FFFF0000"/>
      <name val="Arial"/>
      <family val="2"/>
      <charset val="204"/>
    </font>
    <font>
      <sz val="20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24"/>
      <color theme="1"/>
      <name val="Arial"/>
      <family val="2"/>
      <charset val="204"/>
    </font>
    <font>
      <b/>
      <sz val="24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 Cyr"/>
      <charset val="204"/>
    </font>
    <font>
      <sz val="24"/>
      <color theme="1"/>
      <name val="Arial Cyr"/>
      <charset val="204"/>
    </font>
    <font>
      <b/>
      <sz val="24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8"/>
      <color theme="1"/>
      <name val="Arial"/>
      <family val="2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40"/>
      <color indexed="10"/>
      <name val="Arial"/>
      <family val="2"/>
      <charset val="204"/>
    </font>
    <font>
      <sz val="21"/>
      <name val="Arial"/>
      <family val="2"/>
      <charset val="204"/>
    </font>
    <font>
      <b/>
      <vertAlign val="superscript"/>
      <sz val="20"/>
      <color indexed="10"/>
      <name val="Arial"/>
      <family val="2"/>
      <charset val="204"/>
    </font>
    <font>
      <b/>
      <vertAlign val="superscript"/>
      <sz val="28"/>
      <color indexed="10"/>
      <name val="Calibri"/>
      <family val="2"/>
      <charset val="204"/>
    </font>
    <font>
      <b/>
      <vertAlign val="superscript"/>
      <sz val="40"/>
      <color indexed="10"/>
      <name val="Calibri"/>
      <family val="2"/>
      <charset val="204"/>
    </font>
    <font>
      <b/>
      <vertAlign val="superscript"/>
      <sz val="40"/>
      <color indexed="10"/>
      <name val="Arial Cyr"/>
      <charset val="204"/>
    </font>
    <font>
      <sz val="18"/>
      <color rgb="FFFF0000"/>
      <name val="Arial"/>
      <family val="2"/>
      <charset val="204"/>
    </font>
    <font>
      <b/>
      <sz val="24"/>
      <color rgb="FFFF000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22"/>
      <color rgb="FFFF0000"/>
      <name val="Arial"/>
      <family val="2"/>
      <charset val="204"/>
    </font>
    <font>
      <b/>
      <sz val="18"/>
      <color indexed="8"/>
      <name val="Arial"/>
      <family val="2"/>
      <charset val="204"/>
    </font>
    <font>
      <sz val="16"/>
      <name val="Arial Cyr"/>
      <charset val="204"/>
    </font>
    <font>
      <sz val="18"/>
      <name val="Arial Cyr"/>
      <charset val="204"/>
    </font>
    <font>
      <sz val="22"/>
      <name val="Arial Cyr"/>
      <charset val="204"/>
    </font>
    <font>
      <sz val="18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4"/>
      <name val="Arial"/>
      <family val="2"/>
      <charset val="204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 style="thin">
        <color rgb="FFFF0000"/>
      </left>
      <right/>
      <top style="thin">
        <color indexed="64"/>
      </top>
      <bottom style="thin">
        <color indexed="64"/>
      </bottom>
      <diagonal/>
    </border>
  </borders>
  <cellStyleXfs count="414">
    <xf numFmtId="0" fontId="0" fillId="0" borderId="0"/>
    <xf numFmtId="0" fontId="8" fillId="0" borderId="0"/>
    <xf numFmtId="0" fontId="9" fillId="0" borderId="0"/>
    <xf numFmtId="0" fontId="9" fillId="0" borderId="0"/>
    <xf numFmtId="0" fontId="10" fillId="0" borderId="0"/>
    <xf numFmtId="0" fontId="4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166" fontId="13" fillId="0" borderId="0" applyFont="0" applyFill="0" applyBorder="0" applyAlignment="0" applyProtection="0"/>
    <xf numFmtId="2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4" fillId="7" borderId="1" applyNumberFormat="0" applyAlignment="0" applyProtection="0"/>
    <xf numFmtId="0" fontId="15" fillId="20" borderId="2" applyNumberFormat="0" applyAlignment="0" applyProtection="0"/>
    <xf numFmtId="0" fontId="16" fillId="20" borderId="1" applyNumberFormat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2" fillId="21" borderId="7" applyNumberFormat="0" applyAlignment="0" applyProtection="0"/>
    <xf numFmtId="0" fontId="2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7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7" fillId="0" borderId="0"/>
    <xf numFmtId="0" fontId="10" fillId="0" borderId="0"/>
    <xf numFmtId="0" fontId="74" fillId="0" borderId="0"/>
    <xf numFmtId="0" fontId="7" fillId="0" borderId="0"/>
    <xf numFmtId="0" fontId="7" fillId="0" borderId="0"/>
    <xf numFmtId="0" fontId="48" fillId="0" borderId="0"/>
    <xf numFmtId="0" fontId="10" fillId="0" borderId="0"/>
    <xf numFmtId="0" fontId="10" fillId="0" borderId="0"/>
    <xf numFmtId="0" fontId="7" fillId="0" borderId="0"/>
    <xf numFmtId="0" fontId="17" fillId="0" borderId="0"/>
    <xf numFmtId="0" fontId="25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7" fillId="23" borderId="8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7" fillId="0" borderId="9" applyNumberFormat="0" applyFill="0" applyAlignment="0" applyProtection="0"/>
    <xf numFmtId="0" fontId="8" fillId="0" borderId="0"/>
    <xf numFmtId="0" fontId="28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9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4" fillId="7" borderId="1" applyNumberFormat="0" applyAlignment="0" applyProtection="0"/>
    <xf numFmtId="0" fontId="15" fillId="20" borderId="2" applyNumberFormat="0" applyAlignment="0" applyProtection="0"/>
    <xf numFmtId="0" fontId="16" fillId="20" borderId="1" applyNumberFormat="0" applyAlignment="0" applyProtection="0"/>
    <xf numFmtId="0" fontId="77" fillId="0" borderId="0" applyNumberFormat="0" applyFill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2" fillId="21" borderId="7" applyNumberFormat="0" applyAlignment="0" applyProtection="0"/>
    <xf numFmtId="0" fontId="2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6" fillId="0" borderId="0"/>
    <xf numFmtId="0" fontId="6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25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7" fillId="23" borderId="8" applyNumberFormat="0" applyFont="0" applyAlignment="0" applyProtection="0"/>
    <xf numFmtId="9" fontId="17" fillId="0" borderId="0" applyFon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0" fontId="29" fillId="4" borderId="0" applyNumberFormat="0" applyBorder="0" applyAlignment="0" applyProtection="0"/>
    <xf numFmtId="0" fontId="5" fillId="0" borderId="0"/>
    <xf numFmtId="0" fontId="10" fillId="0" borderId="0"/>
    <xf numFmtId="0" fontId="4" fillId="0" borderId="0"/>
    <xf numFmtId="0" fontId="3" fillId="0" borderId="0"/>
    <xf numFmtId="0" fontId="10" fillId="0" borderId="0"/>
    <xf numFmtId="0" fontId="1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1" fillId="0" borderId="0"/>
    <xf numFmtId="0" fontId="7" fillId="26" borderId="0" applyNumberFormat="0" applyBorder="0" applyAlignment="0" applyProtection="0"/>
    <xf numFmtId="0" fontId="7" fillId="2" borderId="0" applyNumberFormat="0" applyBorder="0" applyAlignment="0" applyProtection="0"/>
    <xf numFmtId="0" fontId="7" fillId="27" borderId="0" applyNumberFormat="0" applyBorder="0" applyAlignment="0" applyProtection="0"/>
    <xf numFmtId="0" fontId="7" fillId="3" borderId="0" applyNumberFormat="0" applyBorder="0" applyAlignment="0" applyProtection="0"/>
    <xf numFmtId="0" fontId="7" fillId="28" borderId="0" applyNumberFormat="0" applyBorder="0" applyAlignment="0" applyProtection="0"/>
    <xf numFmtId="0" fontId="7" fillId="4" borderId="0" applyNumberFormat="0" applyBorder="0" applyAlignment="0" applyProtection="0"/>
    <xf numFmtId="0" fontId="7" fillId="29" borderId="0" applyNumberFormat="0" applyBorder="0" applyAlignment="0" applyProtection="0"/>
    <xf numFmtId="0" fontId="7" fillId="5" borderId="0" applyNumberFormat="0" applyBorder="0" applyAlignment="0" applyProtection="0"/>
    <xf numFmtId="0" fontId="7" fillId="30" borderId="0" applyNumberFormat="0" applyBorder="0" applyAlignment="0" applyProtection="0"/>
    <xf numFmtId="0" fontId="7" fillId="6" borderId="0" applyNumberFormat="0" applyBorder="0" applyAlignment="0" applyProtection="0"/>
    <xf numFmtId="0" fontId="7" fillId="31" borderId="0" applyNumberFormat="0" applyBorder="0" applyAlignment="0" applyProtection="0"/>
    <xf numFmtId="0" fontId="7" fillId="7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33" borderId="0" applyNumberFormat="0" applyBorder="0" applyAlignment="0" applyProtection="0"/>
    <xf numFmtId="0" fontId="7" fillId="9" borderId="0" applyNumberFormat="0" applyBorder="0" applyAlignment="0" applyProtection="0"/>
    <xf numFmtId="0" fontId="7" fillId="34" borderId="0" applyNumberFormat="0" applyBorder="0" applyAlignment="0" applyProtection="0"/>
    <xf numFmtId="0" fontId="7" fillId="10" borderId="0" applyNumberFormat="0" applyBorder="0" applyAlignment="0" applyProtection="0"/>
    <xf numFmtId="0" fontId="7" fillId="29" borderId="0" applyNumberFormat="0" applyBorder="0" applyAlignment="0" applyProtection="0"/>
    <xf numFmtId="0" fontId="7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11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71" fontId="10" fillId="0" borderId="0" applyFill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7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4" fillId="31" borderId="1" applyNumberFormat="0" applyAlignment="0" applyProtection="0"/>
    <xf numFmtId="0" fontId="14" fillId="31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5" fillId="44" borderId="2" applyNumberFormat="0" applyAlignment="0" applyProtection="0"/>
    <xf numFmtId="0" fontId="15" fillId="44" borderId="2" applyNumberFormat="0" applyAlignment="0" applyProtection="0"/>
    <xf numFmtId="0" fontId="15" fillId="20" borderId="2" applyNumberFormat="0" applyAlignment="0" applyProtection="0"/>
    <xf numFmtId="0" fontId="15" fillId="20" borderId="2" applyNumberFormat="0" applyAlignment="0" applyProtection="0"/>
    <xf numFmtId="0" fontId="16" fillId="44" borderId="1" applyNumberFormat="0" applyAlignment="0" applyProtection="0"/>
    <xf numFmtId="0" fontId="16" fillId="44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02" fillId="0" borderId="0" applyNumberFormat="0" applyFill="0" applyBorder="0" applyAlignment="0" applyProtection="0"/>
    <xf numFmtId="172" fontId="10" fillId="0" borderId="0" applyFill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103" fillId="0" borderId="0" applyNumberFormat="0" applyFill="0" applyBorder="0" applyProtection="0">
      <alignment horizontal="left"/>
    </xf>
    <xf numFmtId="0" fontId="21" fillId="0" borderId="6" applyNumberFormat="0" applyFill="0" applyAlignment="0" applyProtection="0"/>
    <xf numFmtId="0" fontId="103" fillId="0" borderId="0" applyNumberFormat="0" applyFill="0" applyBorder="0" applyProtection="0">
      <alignment horizontal="left"/>
    </xf>
    <xf numFmtId="0" fontId="22" fillId="45" borderId="7" applyNumberFormat="0" applyAlignment="0" applyProtection="0"/>
    <xf numFmtId="0" fontId="22" fillId="45" borderId="7" applyNumberFormat="0" applyAlignment="0" applyProtection="0"/>
    <xf numFmtId="0" fontId="22" fillId="21" borderId="7" applyNumberFormat="0" applyAlignment="0" applyProtection="0"/>
    <xf numFmtId="0" fontId="22" fillId="21" borderId="7" applyNumberFormat="0" applyAlignment="0" applyProtection="0"/>
    <xf numFmtId="0" fontId="23" fillId="0" borderId="0" applyNumberFormat="0" applyFill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8" fillId="0" borderId="0"/>
    <xf numFmtId="0" fontId="10" fillId="0" borderId="0"/>
    <xf numFmtId="0" fontId="7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3" fillId="0" borderId="0"/>
    <xf numFmtId="0" fontId="1" fillId="0" borderId="0"/>
    <xf numFmtId="0" fontId="78" fillId="0" borderId="0"/>
    <xf numFmtId="0" fontId="78" fillId="0" borderId="0"/>
    <xf numFmtId="0" fontId="17" fillId="0" borderId="0"/>
    <xf numFmtId="0" fontId="10" fillId="0" borderId="0"/>
    <xf numFmtId="0" fontId="7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0" fillId="47" borderId="8" applyNumberFormat="0" applyAlignment="0" applyProtection="0"/>
    <xf numFmtId="0" fontId="10" fillId="47" borderId="8" applyNumberForma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7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7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7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173" fontId="10" fillId="0" borderId="0" applyFill="0" applyBorder="0" applyAlignment="0" applyProtection="0"/>
    <xf numFmtId="173" fontId="10" fillId="0" borderId="0" applyFill="0" applyBorder="0" applyAlignment="0" applyProtection="0"/>
    <xf numFmtId="170" fontId="17" fillId="0" borderId="0" applyFont="0" applyFill="0" applyBorder="0" applyAlignment="0" applyProtection="0"/>
    <xf numFmtId="173" fontId="10" fillId="0" borderId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</cellStyleXfs>
  <cellXfs count="1429">
    <xf numFmtId="0" fontId="0" fillId="0" borderId="0" xfId="0"/>
    <xf numFmtId="0" fontId="17" fillId="0" borderId="0" xfId="0" applyFont="1"/>
    <xf numFmtId="0" fontId="17" fillId="0" borderId="0" xfId="0" applyFont="1" applyAlignment="1"/>
    <xf numFmtId="0" fontId="33" fillId="0" borderId="0" xfId="0" applyFont="1"/>
    <xf numFmtId="0" fontId="33" fillId="0" borderId="0" xfId="0" applyFont="1" applyBorder="1"/>
    <xf numFmtId="0" fontId="33" fillId="0" borderId="0" xfId="0" applyFont="1" applyBorder="1" applyAlignment="1"/>
    <xf numFmtId="0" fontId="17" fillId="0" borderId="0" xfId="0" applyFont="1" applyAlignment="1">
      <alignment horizontal="center" vertical="center"/>
    </xf>
    <xf numFmtId="0" fontId="33" fillId="0" borderId="0" xfId="0" applyFont="1" applyAlignment="1"/>
    <xf numFmtId="0" fontId="39" fillId="0" borderId="0" xfId="0" applyFont="1"/>
    <xf numFmtId="0" fontId="36" fillId="0" borderId="10" xfId="0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0" xfId="0" applyFont="1"/>
    <xf numFmtId="0" fontId="36" fillId="0" borderId="11" xfId="0" applyFont="1" applyBorder="1" applyAlignment="1" applyProtection="1">
      <alignment horizontal="center" vertical="center" wrapText="1"/>
      <protection hidden="1"/>
    </xf>
    <xf numFmtId="0" fontId="36" fillId="0" borderId="12" xfId="0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/>
      <protection hidden="1"/>
    </xf>
    <xf numFmtId="2" fontId="36" fillId="0" borderId="11" xfId="0" applyNumberFormat="1" applyFont="1" applyBorder="1" applyAlignment="1" applyProtection="1">
      <alignment horizontal="center" vertical="center"/>
      <protection hidden="1"/>
    </xf>
    <xf numFmtId="2" fontId="36" fillId="0" borderId="12" xfId="0" applyNumberFormat="1" applyFont="1" applyBorder="1" applyAlignment="1" applyProtection="1">
      <alignment horizontal="center" vertical="center"/>
      <protection hidden="1"/>
    </xf>
    <xf numFmtId="2" fontId="36" fillId="0" borderId="13" xfId="0" applyNumberFormat="1" applyFont="1" applyBorder="1" applyAlignment="1" applyProtection="1">
      <alignment horizontal="center" vertical="center"/>
      <protection hidden="1"/>
    </xf>
    <xf numFmtId="0" fontId="36" fillId="0" borderId="13" xfId="0" applyFont="1" applyBorder="1" applyAlignment="1" applyProtection="1">
      <alignment horizontal="center" vertical="center" wrapText="1"/>
      <protection hidden="1"/>
    </xf>
    <xf numFmtId="0" fontId="36" fillId="24" borderId="10" xfId="0" applyFont="1" applyFill="1" applyBorder="1" applyAlignment="1" applyProtection="1">
      <alignment horizontal="center" vertical="center" wrapText="1"/>
      <protection hidden="1"/>
    </xf>
    <xf numFmtId="164" fontId="36" fillId="0" borderId="10" xfId="0" applyNumberFormat="1" applyFont="1" applyFill="1" applyBorder="1" applyAlignment="1" applyProtection="1">
      <alignment horizontal="center" vertical="center"/>
      <protection hidden="1"/>
    </xf>
    <xf numFmtId="2" fontId="36" fillId="0" borderId="10" xfId="0" applyNumberFormat="1" applyFont="1" applyBorder="1" applyAlignment="1" applyProtection="1">
      <alignment horizontal="center" vertical="center"/>
      <protection hidden="1"/>
    </xf>
    <xf numFmtId="165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1" xfId="0" applyFont="1" applyBorder="1" applyAlignment="1">
      <alignment horizontal="center" vertical="center" wrapText="1"/>
    </xf>
    <xf numFmtId="2" fontId="36" fillId="0" borderId="11" xfId="0" applyNumberFormat="1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2" fontId="36" fillId="0" borderId="13" xfId="0" applyNumberFormat="1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2" fontId="36" fillId="0" borderId="15" xfId="0" applyNumberFormat="1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6" fillId="0" borderId="0" xfId="96" applyFont="1" applyAlignment="1">
      <alignment vertical="center"/>
    </xf>
    <xf numFmtId="0" fontId="36" fillId="0" borderId="0" xfId="96" applyFont="1" applyAlignment="1">
      <alignment vertical="center" wrapText="1"/>
    </xf>
    <xf numFmtId="0" fontId="35" fillId="0" borderId="0" xfId="96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Border="1" applyAlignment="1">
      <alignment vertical="center" wrapText="1"/>
    </xf>
    <xf numFmtId="0" fontId="36" fillId="0" borderId="0" xfId="0" applyFont="1" applyBorder="1"/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25" borderId="10" xfId="0" applyNumberFormat="1" applyFont="1" applyFill="1" applyBorder="1" applyAlignment="1" applyProtection="1">
      <alignment horizontal="center" vertical="center" wrapText="1"/>
      <protection hidden="1"/>
    </xf>
    <xf numFmtId="3" fontId="35" fillId="25" borderId="10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Alignment="1">
      <alignment vertical="center" wrapText="1"/>
    </xf>
    <xf numFmtId="0" fontId="35" fillId="0" borderId="0" xfId="0" applyFont="1" applyBorder="1" applyAlignment="1" applyProtection="1">
      <alignment horizontal="left" vertical="center"/>
      <protection hidden="1"/>
    </xf>
    <xf numFmtId="0" fontId="34" fillId="0" borderId="0" xfId="95" applyFont="1" applyBorder="1" applyAlignment="1" applyProtection="1">
      <alignment vertical="top"/>
      <protection hidden="1"/>
    </xf>
    <xf numFmtId="0" fontId="35" fillId="0" borderId="0" xfId="95" applyFont="1" applyBorder="1" applyAlignment="1"/>
    <xf numFmtId="0" fontId="36" fillId="0" borderId="10" xfId="0" applyFont="1" applyFill="1" applyBorder="1" applyAlignment="1" applyProtection="1">
      <alignment vertical="center"/>
      <protection hidden="1"/>
    </xf>
    <xf numFmtId="0" fontId="35" fillId="0" borderId="19" xfId="0" applyFont="1" applyBorder="1" applyAlignment="1"/>
    <xf numFmtId="2" fontId="35" fillId="0" borderId="20" xfId="0" applyNumberFormat="1" applyFont="1" applyBorder="1" applyAlignment="1">
      <alignment horizontal="center" vertical="center" wrapText="1"/>
    </xf>
    <xf numFmtId="2" fontId="35" fillId="0" borderId="10" xfId="0" applyNumberFormat="1" applyFont="1" applyBorder="1" applyAlignment="1">
      <alignment horizontal="center" vertical="center" wrapText="1"/>
    </xf>
    <xf numFmtId="2" fontId="35" fillId="0" borderId="11" xfId="0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/>
    </xf>
    <xf numFmtId="0" fontId="35" fillId="0" borderId="0" xfId="0" applyFont="1" applyBorder="1" applyAlignment="1" applyProtection="1">
      <alignment horizontal="left" vertical="top"/>
      <protection hidden="1"/>
    </xf>
    <xf numFmtId="0" fontId="45" fillId="0" borderId="0" xfId="0" applyFont="1"/>
    <xf numFmtId="2" fontId="35" fillId="0" borderId="16" xfId="0" applyNumberFormat="1" applyFont="1" applyBorder="1" applyAlignment="1">
      <alignment horizontal="center" vertical="center" wrapText="1"/>
    </xf>
    <xf numFmtId="2" fontId="36" fillId="0" borderId="16" xfId="0" applyNumberFormat="1" applyFont="1" applyFill="1" applyBorder="1" applyAlignment="1">
      <alignment vertical="center" wrapText="1"/>
    </xf>
    <xf numFmtId="0" fontId="49" fillId="0" borderId="0" xfId="92" applyFont="1"/>
    <xf numFmtId="0" fontId="49" fillId="0" borderId="0" xfId="92" applyFont="1" applyAlignment="1">
      <alignment vertical="center"/>
    </xf>
    <xf numFmtId="0" fontId="50" fillId="0" borderId="0" xfId="92" applyFont="1"/>
    <xf numFmtId="0" fontId="49" fillId="0" borderId="0" xfId="92" applyFont="1" applyBorder="1"/>
    <xf numFmtId="0" fontId="50" fillId="0" borderId="0" xfId="92" applyFont="1" applyBorder="1"/>
    <xf numFmtId="0" fontId="51" fillId="0" borderId="0" xfId="92" applyFont="1"/>
    <xf numFmtId="2" fontId="53" fillId="0" borderId="11" xfId="57" applyNumberFormat="1" applyFont="1" applyFill="1" applyBorder="1" applyAlignment="1">
      <alignment horizontal="center" vertical="center" wrapText="1"/>
    </xf>
    <xf numFmtId="49" fontId="53" fillId="0" borderId="10" xfId="57" applyNumberFormat="1" applyFont="1" applyFill="1" applyBorder="1" applyAlignment="1">
      <alignment horizontal="center" vertical="center" wrapText="1"/>
    </xf>
    <xf numFmtId="0" fontId="46" fillId="0" borderId="11" xfId="92" applyFont="1" applyFill="1" applyBorder="1" applyAlignment="1">
      <alignment horizontal="center" vertical="center" wrapText="1"/>
    </xf>
    <xf numFmtId="0" fontId="59" fillId="0" borderId="0" xfId="0" applyFont="1"/>
    <xf numFmtId="0" fontId="62" fillId="0" borderId="0" xfId="0" applyFont="1"/>
    <xf numFmtId="0" fontId="61" fillId="0" borderId="0" xfId="0" applyFont="1" applyAlignment="1"/>
    <xf numFmtId="0" fontId="59" fillId="0" borderId="0" xfId="0" applyFont="1" applyBorder="1" applyAlignment="1"/>
    <xf numFmtId="0" fontId="59" fillId="0" borderId="0" xfId="0" applyFont="1" applyBorder="1" applyAlignment="1" applyProtection="1">
      <alignment vertical="center"/>
      <protection hidden="1"/>
    </xf>
    <xf numFmtId="0" fontId="59" fillId="0" borderId="0" xfId="0" applyFont="1" applyAlignment="1">
      <alignment vertical="center"/>
    </xf>
    <xf numFmtId="0" fontId="59" fillId="0" borderId="0" xfId="96" applyFont="1" applyAlignment="1">
      <alignment vertical="center"/>
    </xf>
    <xf numFmtId="0" fontId="59" fillId="0" borderId="0" xfId="0" applyFont="1" applyBorder="1" applyAlignment="1">
      <alignment horizontal="center" vertical="center"/>
    </xf>
    <xf numFmtId="0" fontId="63" fillId="0" borderId="0" xfId="0" applyFont="1" applyAlignment="1">
      <alignment horizontal="center"/>
    </xf>
    <xf numFmtId="0" fontId="7" fillId="0" borderId="0" xfId="87"/>
    <xf numFmtId="0" fontId="49" fillId="0" borderId="0" xfId="87" applyFont="1"/>
    <xf numFmtId="0" fontId="64" fillId="0" borderId="0" xfId="92" applyFont="1" applyAlignment="1">
      <alignment vertical="center"/>
    </xf>
    <xf numFmtId="0" fontId="31" fillId="0" borderId="0" xfId="87" applyFont="1" applyBorder="1" applyAlignment="1" applyProtection="1">
      <alignment horizontal="center" vertical="center"/>
      <protection hidden="1"/>
    </xf>
    <xf numFmtId="0" fontId="32" fillId="0" borderId="0" xfId="87" applyFont="1" applyBorder="1" applyAlignment="1" applyProtection="1">
      <alignment horizontal="center" vertical="center" wrapText="1"/>
      <protection hidden="1"/>
    </xf>
    <xf numFmtId="0" fontId="65" fillId="0" borderId="0" xfId="87" applyFont="1" applyBorder="1"/>
    <xf numFmtId="3" fontId="31" fillId="0" borderId="0" xfId="87" applyNumberFormat="1" applyFont="1" applyBorder="1" applyAlignment="1" applyProtection="1">
      <alignment horizontal="center" vertical="center" wrapText="1"/>
      <protection hidden="1"/>
    </xf>
    <xf numFmtId="0" fontId="64" fillId="0" borderId="0" xfId="87" applyFont="1" applyBorder="1"/>
    <xf numFmtId="0" fontId="32" fillId="0" borderId="19" xfId="87" applyFont="1" applyBorder="1" applyAlignment="1"/>
    <xf numFmtId="0" fontId="44" fillId="0" borderId="0" xfId="95" applyFont="1" applyBorder="1" applyAlignment="1" applyProtection="1">
      <alignment vertical="top"/>
      <protection hidden="1"/>
    </xf>
    <xf numFmtId="0" fontId="66" fillId="0" borderId="0" xfId="0" applyFont="1" applyAlignment="1">
      <alignment horizontal="left"/>
    </xf>
    <xf numFmtId="0" fontId="35" fillId="0" borderId="0" xfId="87" applyFont="1" applyBorder="1" applyAlignment="1" applyProtection="1">
      <alignment horizontal="center" vertical="center" wrapText="1"/>
      <protection hidden="1"/>
    </xf>
    <xf numFmtId="165" fontId="36" fillId="0" borderId="0" xfId="87" applyNumberFormat="1" applyFont="1" applyBorder="1" applyAlignment="1" applyProtection="1">
      <alignment horizontal="center" vertical="center"/>
      <protection hidden="1"/>
    </xf>
    <xf numFmtId="0" fontId="36" fillId="0" borderId="0" xfId="87" applyFont="1" applyBorder="1" applyAlignment="1" applyProtection="1">
      <alignment horizontal="center" vertical="center"/>
      <protection hidden="1"/>
    </xf>
    <xf numFmtId="4" fontId="36" fillId="0" borderId="0" xfId="87" applyNumberFormat="1" applyFont="1" applyFill="1" applyBorder="1" applyAlignment="1" applyProtection="1">
      <alignment horizontal="center" vertical="center"/>
      <protection hidden="1"/>
    </xf>
    <xf numFmtId="167" fontId="35" fillId="0" borderId="0" xfId="87" applyNumberFormat="1" applyFont="1" applyBorder="1" applyAlignment="1" applyProtection="1">
      <alignment horizontal="center" vertical="center" wrapText="1"/>
      <protection hidden="1"/>
    </xf>
    <xf numFmtId="0" fontId="35" fillId="0" borderId="0" xfId="87" applyFont="1" applyBorder="1" applyAlignment="1" applyProtection="1">
      <alignment vertical="center"/>
      <protection hidden="1"/>
    </xf>
    <xf numFmtId="0" fontId="67" fillId="0" borderId="0" xfId="87" applyFont="1"/>
    <xf numFmtId="0" fontId="35" fillId="0" borderId="0" xfId="86" applyFont="1" applyBorder="1" applyAlignment="1" applyProtection="1">
      <alignment vertical="center"/>
      <protection hidden="1"/>
    </xf>
    <xf numFmtId="0" fontId="67" fillId="0" borderId="0" xfId="87" applyFont="1" applyBorder="1"/>
    <xf numFmtId="0" fontId="35" fillId="0" borderId="0" xfId="0" applyFont="1" applyBorder="1" applyAlignment="1" applyProtection="1">
      <alignment vertical="center" wrapText="1"/>
      <protection hidden="1"/>
    </xf>
    <xf numFmtId="0" fontId="59" fillId="0" borderId="10" xfId="0" applyFont="1" applyFill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59" fillId="0" borderId="11" xfId="0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0" xfId="96" applyFont="1" applyBorder="1" applyAlignment="1">
      <alignment vertical="center"/>
    </xf>
    <xf numFmtId="0" fontId="60" fillId="0" borderId="0" xfId="96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vertical="center" wrapText="1"/>
    </xf>
    <xf numFmtId="0" fontId="62" fillId="0" borderId="0" xfId="0" applyFont="1" applyBorder="1"/>
    <xf numFmtId="0" fontId="62" fillId="0" borderId="0" xfId="0" applyFont="1" applyBorder="1" applyAlignment="1" applyProtection="1">
      <alignment vertical="center"/>
      <protection hidden="1"/>
    </xf>
    <xf numFmtId="0" fontId="57" fillId="0" borderId="0" xfId="95" applyFont="1" applyBorder="1" applyAlignment="1" applyProtection="1">
      <alignment vertical="top"/>
      <protection hidden="1"/>
    </xf>
    <xf numFmtId="9" fontId="55" fillId="0" borderId="10" xfId="100" applyFont="1" applyBorder="1" applyAlignment="1">
      <alignment horizontal="center" vertical="center"/>
    </xf>
    <xf numFmtId="0" fontId="40" fillId="0" borderId="0" xfId="0" applyFont="1" applyBorder="1" applyAlignment="1"/>
    <xf numFmtId="0" fontId="35" fillId="0" borderId="0" xfId="0" applyFont="1" applyBorder="1" applyAlignment="1" applyProtection="1">
      <alignment vertical="center"/>
      <protection hidden="1"/>
    </xf>
    <xf numFmtId="0" fontId="40" fillId="0" borderId="0" xfId="0" applyFont="1" applyBorder="1" applyAlignment="1">
      <alignment vertical="center"/>
    </xf>
    <xf numFmtId="0" fontId="40" fillId="0" borderId="0" xfId="0" applyFont="1" applyBorder="1" applyAlignment="1">
      <alignment vertical="center" wrapText="1"/>
    </xf>
    <xf numFmtId="0" fontId="45" fillId="0" borderId="11" xfId="0" applyFont="1" applyBorder="1" applyAlignment="1" applyProtection="1">
      <alignment horizontal="center" vertical="center" wrapText="1"/>
      <protection hidden="1"/>
    </xf>
    <xf numFmtId="2" fontId="45" fillId="0" borderId="11" xfId="0" applyNumberFormat="1" applyFont="1" applyBorder="1" applyAlignment="1" applyProtection="1">
      <alignment horizontal="center" vertical="center" wrapText="1"/>
      <protection hidden="1"/>
    </xf>
    <xf numFmtId="1" fontId="45" fillId="0" borderId="11" xfId="0" applyNumberFormat="1" applyFont="1" applyBorder="1" applyAlignment="1" applyProtection="1">
      <alignment horizontal="center" vertical="center" wrapText="1"/>
      <protection hidden="1"/>
    </xf>
    <xf numFmtId="0" fontId="45" fillId="0" borderId="12" xfId="0" applyFont="1" applyBorder="1" applyAlignment="1" applyProtection="1">
      <alignment horizontal="center" vertical="center" wrapText="1"/>
      <protection hidden="1"/>
    </xf>
    <xf numFmtId="2" fontId="45" fillId="0" borderId="12" xfId="0" applyNumberFormat="1" applyFont="1" applyBorder="1" applyAlignment="1" applyProtection="1">
      <alignment horizontal="center" vertical="center" wrapText="1"/>
      <protection hidden="1"/>
    </xf>
    <xf numFmtId="1" fontId="45" fillId="0" borderId="12" xfId="0" applyNumberFormat="1" applyFont="1" applyBorder="1" applyAlignment="1" applyProtection="1">
      <alignment horizontal="center" vertical="center" wrapText="1"/>
      <protection hidden="1"/>
    </xf>
    <xf numFmtId="165" fontId="45" fillId="0" borderId="12" xfId="0" applyNumberFormat="1" applyFont="1" applyBorder="1" applyAlignment="1" applyProtection="1">
      <alignment horizontal="center" vertical="center"/>
      <protection hidden="1"/>
    </xf>
    <xf numFmtId="0" fontId="45" fillId="0" borderId="12" xfId="0" applyFont="1" applyBorder="1" applyAlignment="1" applyProtection="1">
      <alignment horizontal="center" vertical="center"/>
      <protection hidden="1"/>
    </xf>
    <xf numFmtId="2" fontId="45" fillId="0" borderId="12" xfId="0" applyNumberFormat="1" applyFont="1" applyBorder="1" applyAlignment="1" applyProtection="1">
      <alignment horizontal="center" vertical="center"/>
      <protection hidden="1"/>
    </xf>
    <xf numFmtId="1" fontId="45" fillId="0" borderId="12" xfId="0" applyNumberFormat="1" applyFont="1" applyBorder="1" applyAlignment="1" applyProtection="1">
      <alignment horizontal="center" vertical="center"/>
      <protection hidden="1"/>
    </xf>
    <xf numFmtId="165" fontId="45" fillId="0" borderId="13" xfId="0" applyNumberFormat="1" applyFont="1" applyBorder="1" applyAlignment="1" applyProtection="1">
      <alignment horizontal="center" vertical="center"/>
      <protection hidden="1"/>
    </xf>
    <xf numFmtId="0" fontId="45" fillId="0" borderId="13" xfId="0" applyFont="1" applyBorder="1" applyAlignment="1" applyProtection="1">
      <alignment horizontal="center" vertical="center"/>
      <protection hidden="1"/>
    </xf>
    <xf numFmtId="2" fontId="45" fillId="0" borderId="13" xfId="0" applyNumberFormat="1" applyFont="1" applyBorder="1" applyAlignment="1" applyProtection="1">
      <alignment horizontal="center" vertical="center"/>
      <protection hidden="1"/>
    </xf>
    <xf numFmtId="1" fontId="45" fillId="0" borderId="13" xfId="0" applyNumberFormat="1" applyFont="1" applyBorder="1" applyAlignment="1" applyProtection="1">
      <alignment horizontal="center" vertical="center"/>
      <protection hidden="1"/>
    </xf>
    <xf numFmtId="165" fontId="45" fillId="0" borderId="11" xfId="0" applyNumberFormat="1" applyFont="1" applyBorder="1" applyAlignment="1" applyProtection="1">
      <alignment horizontal="center" vertical="center"/>
      <protection hidden="1"/>
    </xf>
    <xf numFmtId="2" fontId="45" fillId="0" borderId="11" xfId="0" applyNumberFormat="1" applyFont="1" applyBorder="1" applyAlignment="1" applyProtection="1">
      <alignment horizontal="center" vertical="center"/>
      <protection hidden="1"/>
    </xf>
    <xf numFmtId="1" fontId="45" fillId="0" borderId="11" xfId="0" applyNumberFormat="1" applyFont="1" applyBorder="1" applyAlignment="1" applyProtection="1">
      <alignment horizontal="center" vertical="center"/>
      <protection hidden="1"/>
    </xf>
    <xf numFmtId="0" fontId="47" fillId="0" borderId="0" xfId="95" applyFont="1" applyBorder="1" applyAlignment="1" applyProtection="1">
      <alignment horizontal="left" vertical="center"/>
      <protection hidden="1"/>
    </xf>
    <xf numFmtId="0" fontId="47" fillId="0" borderId="0" xfId="0" applyFont="1" applyBorder="1" applyAlignment="1" applyProtection="1">
      <alignment vertical="center"/>
      <protection hidden="1"/>
    </xf>
    <xf numFmtId="0" fontId="47" fillId="0" borderId="0" xfId="0" applyFont="1" applyBorder="1" applyAlignment="1" applyProtection="1">
      <alignment vertical="center" wrapText="1"/>
      <protection hidden="1"/>
    </xf>
    <xf numFmtId="0" fontId="45" fillId="0" borderId="0" xfId="0" applyFont="1" applyAlignment="1">
      <alignment vertical="center" wrapText="1"/>
    </xf>
    <xf numFmtId="0" fontId="71" fillId="0" borderId="0" xfId="0" applyFont="1" applyBorder="1" applyAlignment="1">
      <alignment vertical="center"/>
    </xf>
    <xf numFmtId="1" fontId="45" fillId="0" borderId="0" xfId="96" applyNumberFormat="1" applyFont="1" applyBorder="1" applyAlignment="1">
      <alignment horizontal="center"/>
    </xf>
    <xf numFmtId="0" fontId="59" fillId="0" borderId="0" xfId="87" applyFont="1" applyBorder="1" applyAlignment="1" applyProtection="1">
      <alignment vertical="center" wrapText="1"/>
      <protection hidden="1"/>
    </xf>
    <xf numFmtId="0" fontId="59" fillId="0" borderId="0" xfId="87" applyFont="1" applyBorder="1" applyAlignment="1" applyProtection="1">
      <alignment vertical="center"/>
      <protection hidden="1"/>
    </xf>
    <xf numFmtId="0" fontId="36" fillId="0" borderId="14" xfId="0" applyNumberFormat="1" applyFont="1" applyBorder="1" applyAlignment="1" applyProtection="1">
      <alignment horizontal="center" vertical="center" wrapText="1"/>
      <protection hidden="1"/>
    </xf>
    <xf numFmtId="0" fontId="36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45" fillId="0" borderId="0" xfId="0" applyFont="1" applyFill="1"/>
    <xf numFmtId="0" fontId="67" fillId="0" borderId="0" xfId="87" applyFont="1" applyAlignment="1"/>
    <xf numFmtId="0" fontId="31" fillId="0" borderId="19" xfId="87" applyFont="1" applyBorder="1" applyAlignment="1" applyProtection="1">
      <alignment vertical="center"/>
      <protection hidden="1"/>
    </xf>
    <xf numFmtId="0" fontId="36" fillId="0" borderId="19" xfId="87" applyFont="1" applyBorder="1" applyAlignment="1" applyProtection="1">
      <alignment vertical="center"/>
      <protection hidden="1"/>
    </xf>
    <xf numFmtId="0" fontId="36" fillId="0" borderId="19" xfId="87" applyFont="1" applyBorder="1" applyAlignment="1" applyProtection="1">
      <alignment horizontal="center" vertical="center"/>
      <protection hidden="1"/>
    </xf>
    <xf numFmtId="0" fontId="35" fillId="0" borderId="0" xfId="86" applyFont="1" applyBorder="1" applyAlignment="1" applyProtection="1">
      <alignment horizontal="center" vertical="center" wrapText="1"/>
      <protection hidden="1"/>
    </xf>
    <xf numFmtId="0" fontId="36" fillId="0" borderId="0" xfId="87" applyFont="1" applyBorder="1" applyAlignment="1" applyProtection="1">
      <alignment horizontal="center" vertical="center" wrapText="1"/>
      <protection hidden="1"/>
    </xf>
    <xf numFmtId="0" fontId="36" fillId="0" borderId="0" xfId="87" applyFont="1" applyBorder="1" applyAlignment="1" applyProtection="1">
      <alignment vertical="center" wrapText="1"/>
      <protection hidden="1"/>
    </xf>
    <xf numFmtId="0" fontId="7" fillId="0" borderId="0" xfId="87" applyFill="1" applyBorder="1"/>
    <xf numFmtId="0" fontId="35" fillId="0" borderId="0" xfId="86" applyFont="1" applyFill="1" applyBorder="1" applyAlignment="1" applyProtection="1">
      <alignment vertical="center" textRotation="90" wrapText="1"/>
      <protection hidden="1"/>
    </xf>
    <xf numFmtId="0" fontId="67" fillId="0" borderId="0" xfId="87" applyFont="1" applyFill="1" applyBorder="1"/>
    <xf numFmtId="0" fontId="36" fillId="0" borderId="0" xfId="87" applyFont="1" applyBorder="1" applyAlignment="1" applyProtection="1">
      <alignment vertical="center"/>
      <protection hidden="1"/>
    </xf>
    <xf numFmtId="0" fontId="36" fillId="0" borderId="0" xfId="86" applyFont="1" applyBorder="1" applyAlignment="1" applyProtection="1">
      <alignment vertical="center" wrapText="1"/>
      <protection hidden="1"/>
    </xf>
    <xf numFmtId="0" fontId="41" fillId="0" borderId="0" xfId="87" applyFont="1" applyBorder="1" applyAlignment="1">
      <alignment horizontal="left" wrapText="1"/>
    </xf>
    <xf numFmtId="0" fontId="36" fillId="0" borderId="0" xfId="86" applyFont="1" applyBorder="1" applyAlignment="1" applyProtection="1">
      <alignment horizontal="center" vertical="center" wrapText="1"/>
      <protection hidden="1"/>
    </xf>
    <xf numFmtId="3" fontId="36" fillId="0" borderId="0" xfId="87" applyNumberFormat="1" applyFont="1" applyBorder="1" applyAlignment="1" applyProtection="1">
      <alignment horizontal="center" vertical="center" wrapText="1"/>
      <protection hidden="1"/>
    </xf>
    <xf numFmtId="3" fontId="36" fillId="0" borderId="0" xfId="87" applyNumberFormat="1" applyFont="1" applyFill="1" applyBorder="1" applyAlignment="1" applyProtection="1">
      <alignment horizontal="center" vertical="center"/>
      <protection hidden="1"/>
    </xf>
    <xf numFmtId="0" fontId="31" fillId="0" borderId="21" xfId="87" applyFont="1" applyBorder="1" applyAlignment="1" applyProtection="1">
      <alignment horizontal="center" vertical="center"/>
      <protection hidden="1"/>
    </xf>
    <xf numFmtId="0" fontId="35" fillId="0" borderId="21" xfId="87" applyFont="1" applyBorder="1" applyAlignment="1" applyProtection="1">
      <alignment horizontal="center" vertical="center" wrapText="1"/>
      <protection hidden="1"/>
    </xf>
    <xf numFmtId="165" fontId="36" fillId="0" borderId="21" xfId="87" applyNumberFormat="1" applyFont="1" applyBorder="1" applyAlignment="1" applyProtection="1">
      <alignment horizontal="center" vertical="center"/>
      <protection hidden="1"/>
    </xf>
    <xf numFmtId="0" fontId="36" fillId="0" borderId="21" xfId="87" applyFont="1" applyBorder="1" applyAlignment="1" applyProtection="1">
      <alignment horizontal="center" vertical="center"/>
      <protection hidden="1"/>
    </xf>
    <xf numFmtId="4" fontId="36" fillId="0" borderId="21" xfId="87" applyNumberFormat="1" applyFont="1" applyFill="1" applyBorder="1" applyAlignment="1" applyProtection="1">
      <alignment horizontal="center" vertical="center"/>
      <protection hidden="1"/>
    </xf>
    <xf numFmtId="168" fontId="36" fillId="0" borderId="21" xfId="87" applyNumberFormat="1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vertical="center" wrapText="1"/>
      <protection hidden="1"/>
    </xf>
    <xf numFmtId="0" fontId="35" fillId="0" borderId="0" xfId="0" applyFont="1"/>
    <xf numFmtId="0" fontId="39" fillId="0" borderId="23" xfId="0" applyFont="1" applyBorder="1"/>
    <xf numFmtId="1" fontId="36" fillId="0" borderId="10" xfId="0" applyNumberFormat="1" applyFont="1" applyBorder="1" applyAlignment="1" applyProtection="1">
      <alignment horizontal="center" vertical="center"/>
      <protection hidden="1"/>
    </xf>
    <xf numFmtId="165" fontId="36" fillId="0" borderId="10" xfId="0" applyNumberFormat="1" applyFont="1" applyFill="1" applyBorder="1" applyAlignment="1" applyProtection="1">
      <alignment horizontal="center" vertical="center"/>
      <protection hidden="1"/>
    </xf>
    <xf numFmtId="165" fontId="36" fillId="0" borderId="12" xfId="0" applyNumberFormat="1" applyFont="1" applyBorder="1" applyAlignment="1" applyProtection="1">
      <alignment horizontal="center" vertical="center"/>
      <protection hidden="1"/>
    </xf>
    <xf numFmtId="165" fontId="36" fillId="0" borderId="13" xfId="0" applyNumberFormat="1" applyFont="1" applyBorder="1" applyAlignment="1" applyProtection="1">
      <alignment horizontal="center" vertical="center"/>
      <protection hidden="1"/>
    </xf>
    <xf numFmtId="1" fontId="36" fillId="0" borderId="12" xfId="0" applyNumberFormat="1" applyFont="1" applyBorder="1" applyAlignment="1" applyProtection="1">
      <alignment horizontal="center" vertical="center"/>
      <protection hidden="1"/>
    </xf>
    <xf numFmtId="1" fontId="36" fillId="0" borderId="13" xfId="0" applyNumberFormat="1" applyFont="1" applyBorder="1" applyAlignment="1" applyProtection="1">
      <alignment horizontal="center" vertical="center"/>
      <protection hidden="1"/>
    </xf>
    <xf numFmtId="165" fontId="36" fillId="0" borderId="11" xfId="0" applyNumberFormat="1" applyFont="1" applyBorder="1" applyAlignment="1" applyProtection="1">
      <alignment horizontal="center" vertical="center"/>
      <protection hidden="1"/>
    </xf>
    <xf numFmtId="43" fontId="36" fillId="0" borderId="12" xfId="105" applyNumberFormat="1" applyFont="1" applyBorder="1" applyAlignment="1" applyProtection="1">
      <alignment horizontal="center" vertical="center"/>
      <protection hidden="1"/>
    </xf>
    <xf numFmtId="14" fontId="45" fillId="0" borderId="0" xfId="0" applyNumberFormat="1" applyFont="1" applyAlignment="1">
      <alignment horizontal="right"/>
    </xf>
    <xf numFmtId="1" fontId="36" fillId="0" borderId="19" xfId="93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6" fillId="24" borderId="14" xfId="0" applyFont="1" applyFill="1" applyBorder="1" applyAlignment="1" applyProtection="1">
      <alignment horizontal="center" vertical="center" wrapText="1"/>
      <protection hidden="1"/>
    </xf>
    <xf numFmtId="2" fontId="36" fillId="0" borderId="14" xfId="0" applyNumberFormat="1" applyFont="1" applyFill="1" applyBorder="1" applyAlignment="1" applyProtection="1">
      <alignment horizontal="center" vertical="center"/>
      <protection hidden="1"/>
    </xf>
    <xf numFmtId="1" fontId="35" fillId="0" borderId="13" xfId="0" applyNumberFormat="1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2" fontId="36" fillId="0" borderId="11" xfId="0" applyNumberFormat="1" applyFont="1" applyBorder="1" applyAlignment="1">
      <alignment horizontal="center" vertical="center" wrapText="1"/>
    </xf>
    <xf numFmtId="2" fontId="36" fillId="0" borderId="13" xfId="0" applyNumberFormat="1" applyFont="1" applyBorder="1" applyAlignment="1">
      <alignment horizontal="center" vertical="center" wrapText="1"/>
    </xf>
    <xf numFmtId="1" fontId="39" fillId="0" borderId="0" xfId="0" applyNumberFormat="1" applyFont="1" applyAlignment="1">
      <alignment horizontal="center" vertical="center"/>
    </xf>
    <xf numFmtId="0" fontId="67" fillId="0" borderId="0" xfId="87" applyFont="1" applyAlignment="1">
      <alignment horizontal="center" vertical="center"/>
    </xf>
    <xf numFmtId="1" fontId="75" fillId="0" borderId="0" xfId="0" applyNumberFormat="1" applyFont="1" applyBorder="1" applyAlignment="1" applyProtection="1">
      <alignment vertical="center" wrapText="1"/>
      <protection hidden="1"/>
    </xf>
    <xf numFmtId="3" fontId="36" fillId="0" borderId="0" xfId="0" applyNumberFormat="1" applyFont="1"/>
    <xf numFmtId="3" fontId="59" fillId="0" borderId="0" xfId="0" applyNumberFormat="1" applyFont="1" applyBorder="1" applyAlignment="1">
      <alignment horizontal="center" vertical="center" wrapText="1"/>
    </xf>
    <xf numFmtId="165" fontId="76" fillId="0" borderId="0" xfId="0" applyNumberFormat="1" applyFont="1"/>
    <xf numFmtId="0" fontId="62" fillId="0" borderId="0" xfId="0" applyFont="1" applyAlignment="1">
      <alignment horizontal="left"/>
    </xf>
    <xf numFmtId="14" fontId="36" fillId="0" borderId="19" xfId="0" applyNumberFormat="1" applyFont="1" applyBorder="1" applyAlignment="1"/>
    <xf numFmtId="14" fontId="36" fillId="0" borderId="19" xfId="0" applyNumberFormat="1" applyFont="1" applyBorder="1" applyAlignment="1" applyProtection="1">
      <alignment vertical="top"/>
      <protection hidden="1"/>
    </xf>
    <xf numFmtId="1" fontId="45" fillId="0" borderId="19" xfId="94" applyNumberFormat="1" applyFont="1" applyFill="1" applyBorder="1" applyAlignment="1">
      <alignment vertical="center" wrapText="1"/>
    </xf>
    <xf numFmtId="4" fontId="36" fillId="0" borderId="11" xfId="0" applyNumberFormat="1" applyFont="1" applyBorder="1" applyAlignment="1" applyProtection="1">
      <alignment horizontal="center" vertical="center"/>
      <protection hidden="1"/>
    </xf>
    <xf numFmtId="4" fontId="36" fillId="0" borderId="12" xfId="0" applyNumberFormat="1" applyFont="1" applyBorder="1" applyAlignment="1" applyProtection="1">
      <alignment horizontal="center" vertical="center"/>
      <protection hidden="1"/>
    </xf>
    <xf numFmtId="4" fontId="36" fillId="0" borderId="13" xfId="0" applyNumberFormat="1" applyFont="1" applyBorder="1" applyAlignment="1" applyProtection="1">
      <alignment horizontal="center" vertical="center"/>
      <protection hidden="1"/>
    </xf>
    <xf numFmtId="0" fontId="79" fillId="0" borderId="11" xfId="0" applyNumberFormat="1" applyFont="1" applyBorder="1" applyAlignment="1">
      <alignment horizontal="center" vertical="center"/>
    </xf>
    <xf numFmtId="0" fontId="79" fillId="0" borderId="12" xfId="0" applyNumberFormat="1" applyFont="1" applyBorder="1" applyAlignment="1">
      <alignment horizontal="center" vertical="center"/>
    </xf>
    <xf numFmtId="0" fontId="79" fillId="0" borderId="13" xfId="0" applyNumberFormat="1" applyFont="1" applyBorder="1" applyAlignment="1">
      <alignment horizontal="center" vertical="center"/>
    </xf>
    <xf numFmtId="0" fontId="79" fillId="0" borderId="11" xfId="0" applyFont="1" applyFill="1" applyBorder="1" applyAlignment="1">
      <alignment horizontal="center" vertical="center"/>
    </xf>
    <xf numFmtId="0" fontId="79" fillId="0" borderId="12" xfId="0" applyFont="1" applyBorder="1" applyAlignment="1">
      <alignment horizontal="center" vertical="center"/>
    </xf>
    <xf numFmtId="0" fontId="79" fillId="0" borderId="13" xfId="0" applyFont="1" applyBorder="1" applyAlignment="1">
      <alignment horizontal="center" vertical="center"/>
    </xf>
    <xf numFmtId="3" fontId="81" fillId="0" borderId="11" xfId="0" applyNumberFormat="1" applyFont="1" applyFill="1" applyBorder="1" applyAlignment="1" applyProtection="1">
      <alignment horizontal="center" vertical="center"/>
      <protection hidden="1"/>
    </xf>
    <xf numFmtId="3" fontId="81" fillId="0" borderId="12" xfId="0" applyNumberFormat="1" applyFont="1" applyFill="1" applyBorder="1" applyAlignment="1" applyProtection="1">
      <alignment horizontal="center" vertical="center"/>
      <protection hidden="1"/>
    </xf>
    <xf numFmtId="3" fontId="81" fillId="0" borderId="13" xfId="0" applyNumberFormat="1" applyFont="1" applyFill="1" applyBorder="1" applyAlignment="1" applyProtection="1">
      <alignment horizontal="center" vertical="center"/>
      <protection hidden="1"/>
    </xf>
    <xf numFmtId="3" fontId="82" fillId="0" borderId="10" xfId="0" applyNumberFormat="1" applyFont="1" applyFill="1" applyBorder="1" applyAlignment="1" applyProtection="1">
      <alignment horizontal="center" vertical="center"/>
      <protection hidden="1"/>
    </xf>
    <xf numFmtId="3" fontId="82" fillId="0" borderId="10" xfId="0" applyNumberFormat="1" applyFont="1" applyBorder="1" applyAlignment="1" applyProtection="1">
      <alignment horizontal="center" vertical="center"/>
      <protection hidden="1"/>
    </xf>
    <xf numFmtId="1" fontId="82" fillId="0" borderId="11" xfId="0" applyNumberFormat="1" applyFont="1" applyFill="1" applyBorder="1" applyAlignment="1" applyProtection="1">
      <alignment horizontal="center" vertical="center"/>
      <protection hidden="1"/>
    </xf>
    <xf numFmtId="1" fontId="82" fillId="0" borderId="12" xfId="0" applyNumberFormat="1" applyFont="1" applyFill="1" applyBorder="1" applyAlignment="1" applyProtection="1">
      <alignment horizontal="center" vertical="center"/>
      <protection hidden="1"/>
    </xf>
    <xf numFmtId="1" fontId="82" fillId="0" borderId="13" xfId="0" applyNumberFormat="1" applyFont="1" applyFill="1" applyBorder="1" applyAlignment="1" applyProtection="1">
      <alignment horizontal="center" vertical="center"/>
      <protection hidden="1"/>
    </xf>
    <xf numFmtId="0" fontId="82" fillId="0" borderId="16" xfId="0" applyFont="1" applyFill="1" applyBorder="1" applyAlignment="1" applyProtection="1">
      <alignment horizontal="center" vertical="center"/>
      <protection hidden="1"/>
    </xf>
    <xf numFmtId="165" fontId="36" fillId="0" borderId="24" xfId="0" applyNumberFormat="1" applyFont="1" applyFill="1" applyBorder="1" applyAlignment="1" applyProtection="1">
      <alignment horizontal="center" vertical="center"/>
      <protection hidden="1"/>
    </xf>
    <xf numFmtId="4" fontId="36" fillId="0" borderId="24" xfId="0" applyNumberFormat="1" applyFont="1" applyFill="1" applyBorder="1" applyAlignment="1" applyProtection="1">
      <alignment horizontal="center" vertical="center"/>
      <protection hidden="1"/>
    </xf>
    <xf numFmtId="0" fontId="36" fillId="0" borderId="12" xfId="0" applyFont="1" applyFill="1" applyBorder="1" applyAlignment="1" applyProtection="1">
      <alignment horizontal="center" vertical="center" wrapText="1"/>
      <protection hidden="1"/>
    </xf>
    <xf numFmtId="4" fontId="36" fillId="0" borderId="12" xfId="0" applyNumberFormat="1" applyFont="1" applyFill="1" applyBorder="1" applyAlignment="1" applyProtection="1">
      <alignment horizontal="center" vertical="center"/>
      <protection hidden="1"/>
    </xf>
    <xf numFmtId="4" fontId="36" fillId="0" borderId="16" xfId="0" applyNumberFormat="1" applyFont="1" applyFill="1" applyBorder="1" applyAlignment="1" applyProtection="1">
      <alignment horizontal="center" vertical="center"/>
      <protection hidden="1"/>
    </xf>
    <xf numFmtId="0" fontId="36" fillId="0" borderId="10" xfId="0" applyFont="1" applyFill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Fill="1" applyBorder="1" applyAlignment="1" applyProtection="1">
      <alignment horizontal="center" vertical="center" wrapText="1"/>
      <protection hidden="1"/>
    </xf>
    <xf numFmtId="2" fontId="36" fillId="0" borderId="11" xfId="0" applyNumberFormat="1" applyFont="1" applyFill="1" applyBorder="1" applyAlignment="1">
      <alignment horizontal="center" vertical="center" wrapText="1"/>
    </xf>
    <xf numFmtId="2" fontId="36" fillId="0" borderId="13" xfId="0" applyNumberFormat="1" applyFont="1" applyFill="1" applyBorder="1" applyAlignment="1">
      <alignment horizontal="center" vertical="center" wrapText="1"/>
    </xf>
    <xf numFmtId="2" fontId="36" fillId="0" borderId="16" xfId="0" applyNumberFormat="1" applyFont="1" applyFill="1" applyBorder="1" applyAlignment="1">
      <alignment horizontal="center" vertical="center" wrapText="1"/>
    </xf>
    <xf numFmtId="2" fontId="83" fillId="0" borderId="15" xfId="0" applyNumberFormat="1" applyFont="1" applyBorder="1" applyAlignment="1">
      <alignment horizontal="center" vertical="center"/>
    </xf>
    <xf numFmtId="1" fontId="83" fillId="0" borderId="13" xfId="0" applyNumberFormat="1" applyFont="1" applyBorder="1" applyAlignment="1">
      <alignment horizontal="center" vertical="center"/>
    </xf>
    <xf numFmtId="0" fontId="81" fillId="0" borderId="0" xfId="0" applyFont="1" applyFill="1"/>
    <xf numFmtId="0" fontId="84" fillId="0" borderId="0" xfId="0" applyFont="1" applyFill="1"/>
    <xf numFmtId="0" fontId="36" fillId="0" borderId="10" xfId="0" applyFont="1" applyBorder="1" applyAlignment="1" applyProtection="1">
      <alignment horizontal="center" vertical="center" wrapText="1"/>
      <protection hidden="1"/>
    </xf>
    <xf numFmtId="1" fontId="36" fillId="0" borderId="10" xfId="0" applyNumberFormat="1" applyFont="1" applyBorder="1" applyAlignment="1" applyProtection="1">
      <alignment horizontal="center" vertical="center" wrapText="1"/>
      <protection hidden="1"/>
    </xf>
    <xf numFmtId="165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8" xfId="0" applyFont="1" applyFill="1" applyBorder="1" applyAlignment="1">
      <alignment vertical="center"/>
    </xf>
    <xf numFmtId="0" fontId="61" fillId="0" borderId="25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61" fillId="0" borderId="44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 wrapText="1"/>
    </xf>
    <xf numFmtId="0" fontId="0" fillId="0" borderId="23" xfId="0" applyBorder="1"/>
    <xf numFmtId="0" fontId="38" fillId="0" borderId="0" xfId="0" applyFont="1" applyFill="1" applyBorder="1" applyAlignment="1">
      <alignment vertical="center" wrapText="1"/>
    </xf>
    <xf numFmtId="1" fontId="36" fillId="0" borderId="11" xfId="0" applyNumberFormat="1" applyFont="1" applyBorder="1" applyAlignment="1" applyProtection="1">
      <alignment horizontal="center" vertical="center" wrapText="1"/>
      <protection hidden="1"/>
    </xf>
    <xf numFmtId="1" fontId="36" fillId="0" borderId="13" xfId="0" applyNumberFormat="1" applyFont="1" applyBorder="1" applyAlignment="1" applyProtection="1">
      <alignment horizontal="center" vertical="center" wrapText="1"/>
      <protection hidden="1"/>
    </xf>
    <xf numFmtId="3" fontId="36" fillId="0" borderId="16" xfId="0" applyNumberFormat="1" applyFont="1" applyFill="1" applyBorder="1" applyAlignment="1" applyProtection="1">
      <alignment horizontal="center" vertical="center"/>
      <protection hidden="1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35" fillId="0" borderId="11" xfId="0" applyFont="1" applyBorder="1" applyAlignment="1" applyProtection="1">
      <alignment horizontal="center" vertical="center" wrapText="1"/>
      <protection hidden="1"/>
    </xf>
    <xf numFmtId="0" fontId="36" fillId="0" borderId="10" xfId="0" applyFont="1" applyFill="1" applyBorder="1" applyAlignment="1" applyProtection="1">
      <alignment horizontal="center" vertical="center"/>
      <protection hidden="1"/>
    </xf>
    <xf numFmtId="0" fontId="36" fillId="0" borderId="24" xfId="0" applyFont="1" applyFill="1" applyBorder="1" applyAlignment="1" applyProtection="1">
      <alignment horizontal="center" vertical="center" wrapText="1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0" fontId="36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16" xfId="0" applyFont="1" applyFill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165" fontId="36" fillId="0" borderId="16" xfId="0" applyNumberFormat="1" applyFont="1" applyFill="1" applyBorder="1" applyAlignment="1" applyProtection="1">
      <alignment horizontal="center" vertical="center"/>
      <protection hidden="1"/>
    </xf>
    <xf numFmtId="9" fontId="55" fillId="0" borderId="10" xfId="10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/>
    </xf>
    <xf numFmtId="165" fontId="36" fillId="0" borderId="12" xfId="0" applyNumberFormat="1" applyFont="1" applyFill="1" applyBorder="1" applyAlignment="1" applyProtection="1">
      <alignment horizontal="center" vertical="center"/>
      <protection hidden="1"/>
    </xf>
    <xf numFmtId="165" fontId="36" fillId="0" borderId="13" xfId="0" applyNumberFormat="1" applyFont="1" applyFill="1" applyBorder="1" applyAlignment="1" applyProtection="1">
      <alignment horizontal="center" vertical="center"/>
      <protection hidden="1"/>
    </xf>
    <xf numFmtId="2" fontId="36" fillId="0" borderId="12" xfId="0" applyNumberFormat="1" applyFont="1" applyBorder="1" applyAlignment="1" applyProtection="1">
      <alignment horizontal="center" vertical="center" wrapText="1"/>
      <protection hidden="1"/>
    </xf>
    <xf numFmtId="0" fontId="82" fillId="0" borderId="0" xfId="87" applyFont="1" applyBorder="1" applyAlignment="1" applyProtection="1">
      <alignment vertical="center"/>
      <protection hidden="1"/>
    </xf>
    <xf numFmtId="0" fontId="82" fillId="0" borderId="0" xfId="86" applyFont="1" applyBorder="1" applyAlignment="1" applyProtection="1">
      <alignment vertical="center" wrapText="1"/>
      <protection hidden="1"/>
    </xf>
    <xf numFmtId="0" fontId="41" fillId="0" borderId="0" xfId="87" applyFont="1" applyBorder="1" applyAlignment="1">
      <alignment horizontal="center" vertical="center"/>
    </xf>
    <xf numFmtId="0" fontId="82" fillId="0" borderId="0" xfId="86" applyFont="1" applyBorder="1" applyAlignment="1" applyProtection="1">
      <alignment horizontal="center" vertical="center" wrapText="1"/>
      <protection hidden="1"/>
    </xf>
    <xf numFmtId="0" fontId="82" fillId="0" borderId="0" xfId="87" applyFont="1" applyBorder="1" applyAlignment="1" applyProtection="1">
      <alignment horizontal="center" vertical="center"/>
      <protection hidden="1"/>
    </xf>
    <xf numFmtId="49" fontId="46" fillId="0" borderId="11" xfId="92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0" fontId="36" fillId="0" borderId="0" xfId="87" applyFont="1" applyBorder="1" applyAlignment="1" applyProtection="1">
      <alignment horizontal="center" vertical="center" wrapText="1"/>
      <protection hidden="1"/>
    </xf>
    <xf numFmtId="0" fontId="31" fillId="0" borderId="10" xfId="87" applyFont="1" applyBorder="1" applyAlignment="1" applyProtection="1">
      <alignment horizontal="center" vertical="center"/>
      <protection hidden="1"/>
    </xf>
    <xf numFmtId="0" fontId="79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2" fontId="36" fillId="0" borderId="10" xfId="0" applyNumberFormat="1" applyFont="1" applyFill="1" applyBorder="1" applyAlignment="1" applyProtection="1">
      <alignment horizontal="center" vertical="center"/>
      <protection hidden="1"/>
    </xf>
    <xf numFmtId="2" fontId="89" fillId="0" borderId="10" xfId="87" applyNumberFormat="1" applyFont="1" applyBorder="1" applyAlignment="1" applyProtection="1">
      <alignment horizontal="center" vertical="center"/>
      <protection hidden="1"/>
    </xf>
    <xf numFmtId="0" fontId="89" fillId="0" borderId="10" xfId="87" applyFont="1" applyBorder="1" applyAlignment="1" applyProtection="1">
      <alignment horizontal="center" vertical="center" wrapText="1"/>
      <protection hidden="1"/>
    </xf>
    <xf numFmtId="2" fontId="89" fillId="0" borderId="11" xfId="87" applyNumberFormat="1" applyFont="1" applyBorder="1" applyAlignment="1" applyProtection="1">
      <alignment horizontal="center" vertical="center"/>
      <protection hidden="1"/>
    </xf>
    <xf numFmtId="0" fontId="89" fillId="0" borderId="11" xfId="87" applyFont="1" applyBorder="1" applyAlignment="1" applyProtection="1">
      <alignment horizontal="center" vertical="center" wrapText="1"/>
      <protection hidden="1"/>
    </xf>
    <xf numFmtId="2" fontId="89" fillId="0" borderId="13" xfId="87" applyNumberFormat="1" applyFont="1" applyBorder="1" applyAlignment="1" applyProtection="1">
      <alignment horizontal="center" vertical="center"/>
      <protection hidden="1"/>
    </xf>
    <xf numFmtId="0" fontId="89" fillId="0" borderId="13" xfId="87" applyFont="1" applyBorder="1" applyAlignment="1" applyProtection="1">
      <alignment horizontal="center" vertical="center" wrapText="1"/>
      <protection hidden="1"/>
    </xf>
    <xf numFmtId="0" fontId="89" fillId="0" borderId="10" xfId="87" applyFont="1" applyBorder="1" applyAlignment="1" applyProtection="1">
      <alignment vertical="center" wrapText="1"/>
      <protection hidden="1"/>
    </xf>
    <xf numFmtId="4" fontId="89" fillId="0" borderId="10" xfId="87" applyNumberFormat="1" applyFont="1" applyFill="1" applyBorder="1" applyAlignment="1" applyProtection="1">
      <alignment horizontal="center" vertical="center"/>
      <protection hidden="1"/>
    </xf>
    <xf numFmtId="0" fontId="89" fillId="0" borderId="10" xfId="87" applyFont="1" applyFill="1" applyBorder="1" applyAlignment="1" applyProtection="1">
      <alignment vertical="center" wrapText="1"/>
      <protection hidden="1"/>
    </xf>
    <xf numFmtId="165" fontId="89" fillId="0" borderId="11" xfId="87" applyNumberFormat="1" applyFont="1" applyBorder="1" applyAlignment="1" applyProtection="1">
      <alignment horizontal="center" vertical="center"/>
      <protection hidden="1"/>
    </xf>
    <xf numFmtId="0" fontId="89" fillId="0" borderId="11" xfId="87" applyFont="1" applyBorder="1" applyAlignment="1" applyProtection="1">
      <alignment horizontal="center" vertical="center"/>
      <protection hidden="1"/>
    </xf>
    <xf numFmtId="4" fontId="89" fillId="0" borderId="11" xfId="87" applyNumberFormat="1" applyFont="1" applyFill="1" applyBorder="1" applyAlignment="1" applyProtection="1">
      <alignment horizontal="center" vertical="center"/>
      <protection hidden="1"/>
    </xf>
    <xf numFmtId="165" fontId="89" fillId="0" borderId="13" xfId="87" applyNumberFormat="1" applyFont="1" applyBorder="1" applyAlignment="1" applyProtection="1">
      <alignment horizontal="center" vertical="center"/>
      <protection hidden="1"/>
    </xf>
    <xf numFmtId="0" fontId="89" fillId="0" borderId="13" xfId="87" applyFont="1" applyBorder="1" applyAlignment="1" applyProtection="1">
      <alignment horizontal="center" vertical="center"/>
      <protection hidden="1"/>
    </xf>
    <xf numFmtId="4" fontId="89" fillId="0" borderId="13" xfId="87" applyNumberFormat="1" applyFont="1" applyFill="1" applyBorder="1" applyAlignment="1" applyProtection="1">
      <alignment horizontal="center" vertical="center"/>
      <protection hidden="1"/>
    </xf>
    <xf numFmtId="0" fontId="89" fillId="0" borderId="10" xfId="87" applyFont="1" applyBorder="1" applyAlignment="1">
      <alignment horizontal="center" vertical="center"/>
    </xf>
    <xf numFmtId="0" fontId="88" fillId="0" borderId="10" xfId="87" applyFont="1" applyBorder="1" applyAlignment="1" applyProtection="1">
      <alignment horizontal="center" vertical="center"/>
      <protection hidden="1"/>
    </xf>
    <xf numFmtId="165" fontId="89" fillId="0" borderId="12" xfId="87" applyNumberFormat="1" applyFont="1" applyBorder="1" applyAlignment="1" applyProtection="1">
      <alignment horizontal="center" vertical="center"/>
      <protection hidden="1"/>
    </xf>
    <xf numFmtId="0" fontId="89" fillId="0" borderId="12" xfId="87" applyFont="1" applyBorder="1" applyAlignment="1" applyProtection="1">
      <alignment horizontal="center" vertical="center"/>
      <protection hidden="1"/>
    </xf>
    <xf numFmtId="4" fontId="89" fillId="0" borderId="12" xfId="87" applyNumberFormat="1" applyFont="1" applyFill="1" applyBorder="1" applyAlignment="1" applyProtection="1">
      <alignment horizontal="center" vertical="center"/>
      <protection hidden="1"/>
    </xf>
    <xf numFmtId="0" fontId="89" fillId="0" borderId="0" xfId="87" applyFont="1" applyBorder="1" applyAlignment="1">
      <alignment horizontal="right"/>
    </xf>
    <xf numFmtId="0" fontId="90" fillId="0" borderId="0" xfId="96" applyFont="1" applyBorder="1" applyAlignment="1">
      <alignment vertical="center"/>
    </xf>
    <xf numFmtId="0" fontId="89" fillId="0" borderId="0" xfId="0" applyFont="1" applyAlignment="1">
      <alignment vertical="center"/>
    </xf>
    <xf numFmtId="2" fontId="43" fillId="0" borderId="0" xfId="0" applyNumberFormat="1" applyFont="1" applyBorder="1" applyAlignment="1">
      <alignment vertical="center" wrapText="1"/>
    </xf>
    <xf numFmtId="1" fontId="59" fillId="0" borderId="0" xfId="0" applyNumberFormat="1" applyFont="1" applyBorder="1" applyAlignment="1">
      <alignment horizontal="center" vertical="center" wrapText="1"/>
    </xf>
    <xf numFmtId="2" fontId="79" fillId="0" borderId="0" xfId="0" applyNumberFormat="1" applyFont="1" applyBorder="1" applyAlignment="1">
      <alignment horizontal="center" vertical="center" wrapText="1"/>
    </xf>
    <xf numFmtId="1" fontId="79" fillId="0" borderId="0" xfId="0" applyNumberFormat="1" applyFont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49" fillId="0" borderId="0" xfId="92" applyFont="1" applyBorder="1" applyAlignment="1"/>
    <xf numFmtId="0" fontId="51" fillId="0" borderId="16" xfId="92" applyFont="1" applyBorder="1" applyAlignment="1">
      <alignment horizontal="left" vertical="center" wrapText="1"/>
    </xf>
    <xf numFmtId="0" fontId="95" fillId="0" borderId="0" xfId="96" applyFont="1" applyAlignment="1">
      <alignment vertical="center"/>
    </xf>
    <xf numFmtId="0" fontId="89" fillId="0" borderId="0" xfId="96" applyFont="1" applyAlignment="1">
      <alignment vertical="center"/>
    </xf>
    <xf numFmtId="0" fontId="59" fillId="0" borderId="23" xfId="0" applyFont="1" applyFill="1" applyBorder="1" applyAlignment="1"/>
    <xf numFmtId="0" fontId="89" fillId="0" borderId="0" xfId="96" applyFont="1" applyBorder="1" applyAlignment="1">
      <alignment vertical="center"/>
    </xf>
    <xf numFmtId="0" fontId="52" fillId="25" borderId="14" xfId="92" applyFont="1" applyFill="1" applyBorder="1" applyAlignment="1">
      <alignment horizontal="center" wrapText="1"/>
    </xf>
    <xf numFmtId="0" fontId="46" fillId="0" borderId="60" xfId="92" applyFont="1" applyFill="1" applyBorder="1" applyAlignment="1">
      <alignment wrapText="1"/>
    </xf>
    <xf numFmtId="0" fontId="53" fillId="0" borderId="60" xfId="92" applyFont="1" applyFill="1" applyBorder="1" applyAlignment="1">
      <alignment horizontal="center" vertical="center" wrapText="1"/>
    </xf>
    <xf numFmtId="0" fontId="46" fillId="0" borderId="64" xfId="92" applyFont="1" applyFill="1" applyBorder="1" applyAlignment="1">
      <alignment wrapText="1"/>
    </xf>
    <xf numFmtId="2" fontId="53" fillId="0" borderId="64" xfId="57" applyNumberFormat="1" applyFont="1" applyFill="1" applyBorder="1" applyAlignment="1">
      <alignment horizontal="center" vertical="center" wrapText="1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6" xfId="0" applyFont="1" applyFill="1" applyBorder="1" applyAlignment="1" applyProtection="1">
      <alignment horizontal="center" vertical="center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Border="1" applyAlignment="1" applyProtection="1">
      <alignment horizontal="left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3" fontId="36" fillId="0" borderId="10" xfId="0" applyNumberFormat="1" applyFont="1" applyFill="1" applyBorder="1" applyAlignment="1" applyProtection="1">
      <alignment horizontal="center" vertical="center"/>
      <protection hidden="1"/>
    </xf>
    <xf numFmtId="14" fontId="36" fillId="0" borderId="19" xfId="0" applyNumberFormat="1" applyFont="1" applyBorder="1" applyAlignment="1" applyProtection="1">
      <alignment horizontal="left" vertical="top"/>
      <protection hidden="1"/>
    </xf>
    <xf numFmtId="1" fontId="59" fillId="0" borderId="10" xfId="0" applyNumberFormat="1" applyFont="1" applyBorder="1" applyAlignment="1">
      <alignment horizontal="center" vertical="center" wrapText="1"/>
    </xf>
    <xf numFmtId="1" fontId="59" fillId="0" borderId="0" xfId="0" applyNumberFormat="1" applyFont="1" applyFill="1" applyBorder="1" applyAlignment="1">
      <alignment vertical="center" wrapText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3" fontId="82" fillId="0" borderId="14" xfId="0" applyNumberFormat="1" applyFont="1" applyFill="1" applyBorder="1" applyAlignment="1" applyProtection="1">
      <alignment horizontal="center" vertical="center"/>
      <protection hidden="1"/>
    </xf>
    <xf numFmtId="2" fontId="36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159" applyFont="1" applyAlignment="1">
      <alignment vertical="center"/>
    </xf>
    <xf numFmtId="0" fontId="36" fillId="0" borderId="0" xfId="159" applyFont="1" applyAlignment="1">
      <alignment vertical="center" wrapText="1"/>
    </xf>
    <xf numFmtId="2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89" fillId="0" borderId="16" xfId="86" applyFont="1" applyBorder="1" applyAlignment="1" applyProtection="1">
      <alignment horizontal="center" vertical="center" wrapText="1"/>
      <protection hidden="1"/>
    </xf>
    <xf numFmtId="0" fontId="90" fillId="0" borderId="10" xfId="86" applyFont="1" applyBorder="1" applyAlignment="1" applyProtection="1">
      <alignment horizontal="center" vertical="center" wrapText="1"/>
      <protection hidden="1"/>
    </xf>
    <xf numFmtId="0" fontId="100" fillId="0" borderId="0" xfId="0" applyFont="1" applyAlignment="1">
      <alignment vertical="center"/>
    </xf>
    <xf numFmtId="2" fontId="46" fillId="0" borderId="14" xfId="87" applyNumberFormat="1" applyFont="1" applyBorder="1" applyAlignment="1" applyProtection="1">
      <alignment horizontal="center" vertical="center"/>
      <protection hidden="1"/>
    </xf>
    <xf numFmtId="0" fontId="46" fillId="0" borderId="14" xfId="87" applyFont="1" applyBorder="1" applyAlignment="1" applyProtection="1">
      <alignment horizontal="center" vertical="center" wrapText="1"/>
      <protection hidden="1"/>
    </xf>
    <xf numFmtId="2" fontId="46" fillId="0" borderId="13" xfId="87" applyNumberFormat="1" applyFont="1" applyBorder="1" applyAlignment="1" applyProtection="1">
      <alignment horizontal="center" vertical="center"/>
      <protection hidden="1"/>
    </xf>
    <xf numFmtId="0" fontId="46" fillId="0" borderId="13" xfId="87" applyFont="1" applyBorder="1" applyAlignment="1" applyProtection="1">
      <alignment horizontal="center" vertical="center" wrapText="1"/>
      <protection hidden="1"/>
    </xf>
    <xf numFmtId="0" fontId="89" fillId="0" borderId="10" xfId="87" applyFont="1" applyBorder="1" applyAlignment="1" applyProtection="1">
      <alignment horizontal="center" vertical="center" wrapText="1"/>
      <protection hidden="1"/>
    </xf>
    <xf numFmtId="0" fontId="36" fillId="0" borderId="16" xfId="0" applyFont="1" applyBorder="1" applyAlignment="1">
      <alignment horizontal="center" vertical="center" wrapText="1"/>
    </xf>
    <xf numFmtId="2" fontId="35" fillId="0" borderId="16" xfId="0" applyNumberFormat="1" applyFont="1" applyBorder="1" applyAlignment="1">
      <alignment horizontal="center" vertical="center" wrapText="1"/>
    </xf>
    <xf numFmtId="0" fontId="90" fillId="0" borderId="23" xfId="87" applyFont="1" applyBorder="1" applyAlignment="1" applyProtection="1">
      <alignment horizontal="center" vertical="center" wrapText="1"/>
      <protection hidden="1"/>
    </xf>
    <xf numFmtId="0" fontId="7" fillId="0" borderId="0" xfId="87" applyBorder="1"/>
    <xf numFmtId="9" fontId="59" fillId="0" borderId="10" xfId="100" applyFont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79" fillId="0" borderId="0" xfId="0" applyFont="1" applyBorder="1" applyAlignment="1">
      <alignment horizontal="center" vertical="center" wrapText="1"/>
    </xf>
    <xf numFmtId="165" fontId="36" fillId="0" borderId="15" xfId="0" applyNumberFormat="1" applyFont="1" applyBorder="1" applyAlignment="1" applyProtection="1">
      <alignment horizontal="center" vertical="center"/>
      <protection hidden="1"/>
    </xf>
    <xf numFmtId="0" fontId="36" fillId="0" borderId="15" xfId="0" applyFont="1" applyBorder="1" applyAlignment="1" applyProtection="1">
      <alignment horizontal="center" vertical="center" wrapText="1"/>
      <protection hidden="1"/>
    </xf>
    <xf numFmtId="2" fontId="36" fillId="0" borderId="15" xfId="0" applyNumberFormat="1" applyFont="1" applyBorder="1" applyAlignment="1" applyProtection="1">
      <alignment horizontal="center" vertical="center"/>
      <protection hidden="1"/>
    </xf>
    <xf numFmtId="0" fontId="45" fillId="0" borderId="14" xfId="0" applyFont="1" applyFill="1" applyBorder="1" applyAlignment="1" applyProtection="1">
      <alignment horizontal="center" vertical="center" wrapText="1"/>
      <protection hidden="1"/>
    </xf>
    <xf numFmtId="0" fontId="51" fillId="0" borderId="19" xfId="92" applyFont="1" applyBorder="1" applyAlignment="1"/>
    <xf numFmtId="169" fontId="51" fillId="0" borderId="0" xfId="92" applyNumberFormat="1" applyFont="1" applyAlignment="1">
      <alignment horizontal="left"/>
    </xf>
    <xf numFmtId="0" fontId="17" fillId="0" borderId="0" xfId="202"/>
    <xf numFmtId="0" fontId="46" fillId="0" borderId="10" xfId="92" applyFont="1" applyFill="1" applyBorder="1" applyAlignment="1">
      <alignment wrapText="1"/>
    </xf>
    <xf numFmtId="2" fontId="53" fillId="0" borderId="10" xfId="57" applyNumberFormat="1" applyFont="1" applyFill="1" applyBorder="1" applyAlignment="1">
      <alignment horizontal="center" vertical="center" wrapText="1"/>
    </xf>
    <xf numFmtId="0" fontId="46" fillId="0" borderId="10" xfId="92" applyFont="1" applyFill="1" applyBorder="1" applyAlignment="1">
      <alignment horizontal="center" vertical="center" wrapText="1"/>
    </xf>
    <xf numFmtId="2" fontId="53" fillId="0" borderId="60" xfId="57" applyNumberFormat="1" applyFont="1" applyFill="1" applyBorder="1" applyAlignment="1">
      <alignment horizontal="center" vertical="center" wrapText="1"/>
    </xf>
    <xf numFmtId="2" fontId="53" fillId="0" borderId="16" xfId="57" applyNumberFormat="1" applyFont="1" applyFill="1" applyBorder="1" applyAlignment="1">
      <alignment horizontal="center" vertical="center" wrapText="1"/>
    </xf>
    <xf numFmtId="0" fontId="51" fillId="0" borderId="10" xfId="92" applyFont="1" applyBorder="1" applyAlignment="1">
      <alignment horizontal="left" vertical="center" wrapText="1"/>
    </xf>
    <xf numFmtId="0" fontId="46" fillId="0" borderId="10" xfId="92" applyFont="1" applyFill="1" applyBorder="1" applyAlignment="1">
      <alignment vertical="center" wrapText="1"/>
    </xf>
    <xf numFmtId="0" fontId="53" fillId="0" borderId="10" xfId="92" applyFont="1" applyFill="1" applyBorder="1" applyAlignment="1">
      <alignment horizontal="center" vertical="center" wrapText="1"/>
    </xf>
    <xf numFmtId="0" fontId="46" fillId="0" borderId="16" xfId="92" applyFont="1" applyFill="1" applyBorder="1" applyAlignment="1">
      <alignment vertical="center" wrapText="1"/>
    </xf>
    <xf numFmtId="2" fontId="53" fillId="0" borderId="14" xfId="57" applyNumberFormat="1" applyFont="1" applyFill="1" applyBorder="1" applyAlignment="1">
      <alignment horizontal="center" vertical="center" wrapText="1"/>
    </xf>
    <xf numFmtId="165" fontId="45" fillId="0" borderId="12" xfId="0" applyNumberFormat="1" applyFont="1" applyFill="1" applyBorder="1" applyAlignment="1" applyProtection="1">
      <alignment horizontal="center" vertical="center"/>
      <protection hidden="1"/>
    </xf>
    <xf numFmtId="0" fontId="51" fillId="0" borderId="10" xfId="92" applyFont="1" applyFill="1" applyBorder="1" applyAlignment="1">
      <alignment horizontal="center" vertical="center"/>
    </xf>
    <xf numFmtId="0" fontId="51" fillId="0" borderId="66" xfId="92" applyNumberFormat="1" applyFont="1" applyFill="1" applyBorder="1" applyAlignment="1">
      <alignment horizontal="center" vertical="center" wrapText="1"/>
    </xf>
    <xf numFmtId="0" fontId="51" fillId="0" borderId="60" xfId="92" applyFont="1" applyFill="1" applyBorder="1" applyAlignment="1">
      <alignment horizontal="center" vertical="center" wrapText="1"/>
    </xf>
    <xf numFmtId="0" fontId="51" fillId="0" borderId="10" xfId="92" applyNumberFormat="1" applyFont="1" applyFill="1" applyBorder="1" applyAlignment="1">
      <alignment horizontal="center" vertical="center" wrapText="1"/>
    </xf>
    <xf numFmtId="0" fontId="51" fillId="0" borderId="60" xfId="92" applyNumberFormat="1" applyFont="1" applyFill="1" applyBorder="1" applyAlignment="1">
      <alignment horizontal="center" vertical="center" wrapText="1"/>
    </xf>
    <xf numFmtId="0" fontId="51" fillId="0" borderId="24" xfId="92" applyNumberFormat="1" applyFont="1" applyFill="1" applyBorder="1" applyAlignment="1">
      <alignment horizontal="center" vertical="center" wrapText="1"/>
    </xf>
    <xf numFmtId="165" fontId="45" fillId="0" borderId="11" xfId="0" applyNumberFormat="1" applyFont="1" applyFill="1" applyBorder="1" applyAlignment="1" applyProtection="1">
      <alignment horizontal="center" vertical="center"/>
      <protection hidden="1"/>
    </xf>
    <xf numFmtId="2" fontId="45" fillId="0" borderId="11" xfId="0" applyNumberFormat="1" applyFont="1" applyFill="1" applyBorder="1" applyAlignment="1" applyProtection="1">
      <alignment horizontal="center" vertical="center"/>
      <protection hidden="1"/>
    </xf>
    <xf numFmtId="1" fontId="45" fillId="0" borderId="11" xfId="0" applyNumberFormat="1" applyFont="1" applyFill="1" applyBorder="1" applyAlignment="1" applyProtection="1">
      <alignment horizontal="center" vertical="center"/>
      <protection hidden="1"/>
    </xf>
    <xf numFmtId="0" fontId="45" fillId="0" borderId="12" xfId="0" applyFont="1" applyFill="1" applyBorder="1" applyAlignment="1" applyProtection="1">
      <alignment horizontal="center" vertical="center"/>
      <protection hidden="1"/>
    </xf>
    <xf numFmtId="2" fontId="45" fillId="0" borderId="12" xfId="0" applyNumberFormat="1" applyFont="1" applyFill="1" applyBorder="1" applyAlignment="1" applyProtection="1">
      <alignment horizontal="center" vertical="center"/>
      <protection hidden="1"/>
    </xf>
    <xf numFmtId="1" fontId="45" fillId="0" borderId="12" xfId="0" applyNumberFormat="1" applyFont="1" applyFill="1" applyBorder="1" applyAlignment="1" applyProtection="1">
      <alignment horizontal="center" vertical="center"/>
      <protection hidden="1"/>
    </xf>
    <xf numFmtId="165" fontId="45" fillId="0" borderId="13" xfId="0" applyNumberFormat="1" applyFont="1" applyFill="1" applyBorder="1" applyAlignment="1" applyProtection="1">
      <alignment horizontal="center" vertical="center"/>
      <protection hidden="1"/>
    </xf>
    <xf numFmtId="2" fontId="45" fillId="0" borderId="13" xfId="0" applyNumberFormat="1" applyFont="1" applyFill="1" applyBorder="1" applyAlignment="1" applyProtection="1">
      <alignment horizontal="center" vertical="center"/>
      <protection hidden="1"/>
    </xf>
    <xf numFmtId="1" fontId="45" fillId="0" borderId="13" xfId="0" applyNumberFormat="1" applyFont="1" applyFill="1" applyBorder="1" applyAlignment="1" applyProtection="1">
      <alignment horizontal="center" vertical="center"/>
      <protection hidden="1"/>
    </xf>
    <xf numFmtId="0" fontId="89" fillId="0" borderId="10" xfId="87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Fill="1"/>
    <xf numFmtId="0" fontId="39" fillId="0" borderId="0" xfId="0" applyFont="1" applyFill="1"/>
    <xf numFmtId="0" fontId="0" fillId="0" borderId="0" xfId="0" applyFill="1"/>
    <xf numFmtId="0" fontId="59" fillId="0" borderId="0" xfId="0" applyFont="1" applyAlignment="1">
      <alignment horizontal="left"/>
    </xf>
    <xf numFmtId="0" fontId="36" fillId="0" borderId="24" xfId="0" applyNumberFormat="1" applyFont="1" applyBorder="1" applyAlignment="1" applyProtection="1">
      <alignment horizontal="center" vertical="center" wrapText="1"/>
      <protection hidden="1"/>
    </xf>
    <xf numFmtId="3" fontId="82" fillId="0" borderId="14" xfId="0" applyNumberFormat="1" applyFont="1" applyFill="1" applyBorder="1" applyAlignment="1" applyProtection="1">
      <alignment horizontal="center" vertical="center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0" fontId="90" fillId="0" borderId="18" xfId="86" applyFont="1" applyBorder="1" applyAlignment="1" applyProtection="1">
      <alignment horizontal="center" vertical="center" wrapText="1"/>
      <protection hidden="1"/>
    </xf>
    <xf numFmtId="0" fontId="90" fillId="0" borderId="21" xfId="86" applyFont="1" applyBorder="1" applyAlignment="1" applyProtection="1">
      <alignment horizontal="center" vertical="center" wrapText="1"/>
      <protection hidden="1"/>
    </xf>
    <xf numFmtId="2" fontId="36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36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90" fillId="0" borderId="0" xfId="87" applyFont="1" applyBorder="1" applyAlignment="1" applyProtection="1">
      <alignment horizontal="center" vertical="center" wrapText="1"/>
      <protection hidden="1"/>
    </xf>
    <xf numFmtId="0" fontId="36" fillId="0" borderId="0" xfId="0" applyFont="1" applyBorder="1" applyAlignment="1">
      <alignment horizontal="center" vertical="center" wrapText="1"/>
    </xf>
    <xf numFmtId="2" fontId="36" fillId="0" borderId="0" xfId="0" applyNumberFormat="1" applyFont="1" applyBorder="1" applyAlignment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  <protection hidden="1"/>
    </xf>
    <xf numFmtId="165" fontId="36" fillId="0" borderId="0" xfId="0" applyNumberFormat="1" applyFont="1" applyBorder="1" applyAlignment="1" applyProtection="1">
      <alignment horizontal="center" vertical="center" wrapText="1"/>
      <protection hidden="1"/>
    </xf>
    <xf numFmtId="1" fontId="36" fillId="0" borderId="0" xfId="0" applyNumberFormat="1" applyFont="1" applyBorder="1" applyAlignment="1" applyProtection="1">
      <alignment horizontal="center" vertical="center" wrapText="1"/>
      <protection hidden="1"/>
    </xf>
    <xf numFmtId="0" fontId="35" fillId="25" borderId="10" xfId="0" applyFont="1" applyFill="1" applyBorder="1" applyAlignment="1" applyProtection="1">
      <alignment horizontal="center" vertical="center" wrapText="1"/>
      <protection hidden="1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59" fillId="0" borderId="10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 wrapText="1"/>
    </xf>
    <xf numFmtId="0" fontId="79" fillId="0" borderId="10" xfId="0" applyFont="1" applyBorder="1" applyAlignment="1">
      <alignment horizontal="center" vertical="center"/>
    </xf>
    <xf numFmtId="0" fontId="79" fillId="0" borderId="10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 wrapText="1"/>
    </xf>
    <xf numFmtId="3" fontId="59" fillId="0" borderId="0" xfId="0" applyNumberFormat="1" applyFont="1" applyFill="1" applyBorder="1" applyAlignment="1">
      <alignment horizontal="center" vertical="center" wrapText="1"/>
    </xf>
    <xf numFmtId="2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0" fontId="36" fillId="0" borderId="16" xfId="0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>
      <alignment horizontal="left" vertical="center" wrapText="1"/>
    </xf>
    <xf numFmtId="0" fontId="61" fillId="0" borderId="23" xfId="202" applyFont="1" applyFill="1" applyBorder="1" applyAlignment="1">
      <alignment vertical="center"/>
    </xf>
    <xf numFmtId="0" fontId="61" fillId="0" borderId="10" xfId="202" applyFont="1" applyFill="1" applyBorder="1" applyAlignment="1">
      <alignment vertical="center"/>
    </xf>
    <xf numFmtId="0" fontId="61" fillId="0" borderId="24" xfId="0" applyFont="1" applyFill="1" applyBorder="1" applyAlignment="1">
      <alignment horizontal="center" vertical="center"/>
    </xf>
    <xf numFmtId="0" fontId="79" fillId="0" borderId="24" xfId="0" applyFont="1" applyFill="1" applyBorder="1" applyAlignment="1">
      <alignment horizontal="center" vertical="center"/>
    </xf>
    <xf numFmtId="0" fontId="79" fillId="0" borderId="24" xfId="0" applyFont="1" applyFill="1" applyBorder="1" applyAlignment="1">
      <alignment horizontal="center" vertical="center" wrapText="1"/>
    </xf>
    <xf numFmtId="0" fontId="92" fillId="0" borderId="10" xfId="87" applyFont="1" applyBorder="1" applyAlignment="1">
      <alignment horizontal="center" vertical="center"/>
    </xf>
    <xf numFmtId="0" fontId="88" fillId="0" borderId="10" xfId="87" applyFont="1" applyBorder="1" applyAlignment="1" applyProtection="1">
      <alignment horizontal="center" vertical="center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0" fontId="36" fillId="0" borderId="14" xfId="0" applyFont="1" applyBorder="1" applyAlignment="1" applyProtection="1">
      <alignment horizontal="center" vertical="center" wrapText="1"/>
      <protection hidden="1"/>
    </xf>
    <xf numFmtId="0" fontId="35" fillId="0" borderId="13" xfId="0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0" fontId="89" fillId="0" borderId="14" xfId="87" applyFont="1" applyBorder="1" applyAlignment="1" applyProtection="1">
      <alignment horizontal="center" vertical="center" wrapText="1"/>
      <protection hidden="1"/>
    </xf>
    <xf numFmtId="0" fontId="36" fillId="0" borderId="16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88" fillId="0" borderId="10" xfId="87" applyFont="1" applyBorder="1" applyAlignment="1" applyProtection="1">
      <alignment horizontal="center" vertical="center"/>
      <protection hidden="1"/>
    </xf>
    <xf numFmtId="0" fontId="89" fillId="0" borderId="10" xfId="86" applyFont="1" applyBorder="1" applyAlignment="1" applyProtection="1">
      <alignment horizontal="center" vertical="center" wrapText="1"/>
      <protection hidden="1"/>
    </xf>
    <xf numFmtId="165" fontId="36" fillId="0" borderId="58" xfId="0" applyNumberFormat="1" applyFont="1" applyFill="1" applyBorder="1" applyAlignment="1" applyProtection="1">
      <alignment horizontal="center" vertical="center"/>
      <protection hidden="1"/>
    </xf>
    <xf numFmtId="2" fontId="36" fillId="0" borderId="13" xfId="0" applyNumberFormat="1" applyFont="1" applyBorder="1" applyAlignment="1" applyProtection="1">
      <alignment horizontal="center" vertical="center" wrapText="1"/>
      <protection hidden="1"/>
    </xf>
    <xf numFmtId="0" fontId="36" fillId="0" borderId="15" xfId="0" applyFont="1" applyFill="1" applyBorder="1" applyAlignment="1" applyProtection="1">
      <alignment horizontal="center" vertical="center" wrapText="1"/>
      <protection hidden="1"/>
    </xf>
    <xf numFmtId="4" fontId="36" fillId="0" borderId="15" xfId="0" applyNumberFormat="1" applyFont="1" applyFill="1" applyBorder="1" applyAlignment="1" applyProtection="1">
      <alignment horizontal="center" vertical="center"/>
      <protection hidden="1"/>
    </xf>
    <xf numFmtId="14" fontId="89" fillId="0" borderId="0" xfId="87" applyNumberFormat="1" applyFont="1" applyBorder="1" applyAlignment="1">
      <alignment horizontal="left"/>
    </xf>
    <xf numFmtId="0" fontId="59" fillId="0" borderId="14" xfId="0" applyFont="1" applyFill="1" applyBorder="1" applyAlignment="1">
      <alignment horizontal="center" vertical="center"/>
    </xf>
    <xf numFmtId="0" fontId="89" fillId="0" borderId="10" xfId="96" applyFont="1" applyFill="1" applyBorder="1" applyAlignment="1">
      <alignment horizontal="center" vertical="center"/>
    </xf>
    <xf numFmtId="0" fontId="89" fillId="0" borderId="29" xfId="96" applyFont="1" applyFill="1" applyBorder="1" applyAlignment="1">
      <alignment horizontal="center" vertical="center" wrapText="1"/>
    </xf>
    <xf numFmtId="1" fontId="36" fillId="0" borderId="10" xfId="0" applyNumberFormat="1" applyFont="1" applyBorder="1" applyAlignment="1" applyProtection="1">
      <alignment horizontal="center" vertical="center" wrapText="1"/>
      <protection hidden="1"/>
    </xf>
    <xf numFmtId="165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" fontId="36" fillId="0" borderId="16" xfId="0" applyNumberFormat="1" applyFont="1" applyBorder="1" applyAlignment="1" applyProtection="1">
      <alignment horizontal="center" vertical="center" wrapText="1"/>
      <protection hidden="1"/>
    </xf>
    <xf numFmtId="0" fontId="89" fillId="0" borderId="10" xfId="87" applyFont="1" applyBorder="1" applyAlignment="1" applyProtection="1">
      <alignment horizontal="center" vertical="center" wrapText="1"/>
      <protection hidden="1"/>
    </xf>
    <xf numFmtId="0" fontId="89" fillId="0" borderId="10" xfId="86" applyFont="1" applyBorder="1" applyAlignment="1" applyProtection="1">
      <alignment horizontal="center" vertical="center" wrapText="1"/>
      <protection hidden="1"/>
    </xf>
    <xf numFmtId="0" fontId="88" fillId="0" borderId="10" xfId="87" applyFont="1" applyBorder="1" applyAlignment="1" applyProtection="1">
      <alignment horizontal="center" vertical="center"/>
      <protection hidden="1"/>
    </xf>
    <xf numFmtId="0" fontId="36" fillId="0" borderId="16" xfId="0" applyFont="1" applyBorder="1" applyAlignment="1">
      <alignment vertical="center" wrapText="1"/>
    </xf>
    <xf numFmtId="2" fontId="36" fillId="0" borderId="16" xfId="0" applyNumberFormat="1" applyFont="1" applyBorder="1" applyAlignment="1">
      <alignment vertical="center" wrapText="1"/>
    </xf>
    <xf numFmtId="165" fontId="36" fillId="0" borderId="16" xfId="0" applyNumberFormat="1" applyFont="1" applyBorder="1" applyAlignment="1" applyProtection="1">
      <alignment vertical="center" wrapText="1"/>
      <protection hidden="1"/>
    </xf>
    <xf numFmtId="0" fontId="36" fillId="0" borderId="10" xfId="0" applyFont="1" applyBorder="1" applyAlignment="1">
      <alignment vertical="center" wrapText="1"/>
    </xf>
    <xf numFmtId="2" fontId="36" fillId="0" borderId="10" xfId="0" applyNumberFormat="1" applyFont="1" applyBorder="1" applyAlignment="1">
      <alignment vertical="center" wrapText="1"/>
    </xf>
    <xf numFmtId="165" fontId="36" fillId="0" borderId="10" xfId="0" applyNumberFormat="1" applyFont="1" applyBorder="1" applyAlignment="1" applyProtection="1">
      <alignment vertical="center" wrapText="1"/>
      <protection hidden="1"/>
    </xf>
    <xf numFmtId="0" fontId="7" fillId="0" borderId="10" xfId="87" applyBorder="1"/>
    <xf numFmtId="0" fontId="35" fillId="25" borderId="10" xfId="0" applyFont="1" applyFill="1" applyBorder="1" applyAlignment="1" applyProtection="1">
      <alignment horizontal="center" vertical="center" wrapText="1"/>
      <protection hidden="1"/>
    </xf>
    <xf numFmtId="0" fontId="36" fillId="0" borderId="14" xfId="0" applyFont="1" applyFill="1" applyBorder="1" applyAlignment="1" applyProtection="1">
      <alignment horizontal="center" vertical="center" wrapText="1"/>
      <protection hidden="1"/>
    </xf>
    <xf numFmtId="165" fontId="36" fillId="0" borderId="14" xfId="0" applyNumberFormat="1" applyFont="1" applyFill="1" applyBorder="1" applyAlignment="1" applyProtection="1">
      <alignment horizontal="center" vertical="center"/>
      <protection hidden="1"/>
    </xf>
    <xf numFmtId="3" fontId="82" fillId="0" borderId="14" xfId="0" applyNumberFormat="1" applyFont="1" applyFill="1" applyBorder="1" applyAlignment="1" applyProtection="1">
      <alignment horizontal="center" vertical="center"/>
      <protection hidden="1"/>
    </xf>
    <xf numFmtId="3" fontId="82" fillId="0" borderId="16" xfId="0" applyNumberFormat="1" applyFont="1" applyFill="1" applyBorder="1" applyAlignment="1" applyProtection="1">
      <alignment horizontal="center" vertical="center"/>
      <protection hidden="1"/>
    </xf>
    <xf numFmtId="165" fontId="45" fillId="0" borderId="15" xfId="0" applyNumberFormat="1" applyFont="1" applyBorder="1" applyAlignment="1" applyProtection="1">
      <alignment horizontal="center" vertical="center"/>
      <protection hidden="1"/>
    </xf>
    <xf numFmtId="0" fontId="45" fillId="0" borderId="15" xfId="0" applyFont="1" applyBorder="1" applyAlignment="1" applyProtection="1">
      <alignment horizontal="center" vertical="center"/>
      <protection hidden="1"/>
    </xf>
    <xf numFmtId="2" fontId="45" fillId="0" borderId="15" xfId="0" applyNumberFormat="1" applyFont="1" applyBorder="1" applyAlignment="1" applyProtection="1">
      <alignment horizontal="center" vertical="center"/>
      <protection hidden="1"/>
    </xf>
    <xf numFmtId="1" fontId="45" fillId="0" borderId="15" xfId="0" applyNumberFormat="1" applyFont="1" applyBorder="1" applyAlignment="1" applyProtection="1">
      <alignment horizontal="center" vertical="center"/>
      <protection hidden="1"/>
    </xf>
    <xf numFmtId="3" fontId="81" fillId="0" borderId="15" xfId="0" applyNumberFormat="1" applyFont="1" applyFill="1" applyBorder="1" applyAlignment="1" applyProtection="1">
      <alignment horizontal="center" vertical="center"/>
      <protection hidden="1"/>
    </xf>
    <xf numFmtId="2" fontId="45" fillId="0" borderId="58" xfId="0" applyNumberFormat="1" applyFont="1" applyBorder="1" applyAlignment="1" applyProtection="1">
      <alignment horizontal="center" vertical="center"/>
      <protection hidden="1"/>
    </xf>
    <xf numFmtId="1" fontId="45" fillId="0" borderId="58" xfId="0" applyNumberFormat="1" applyFont="1" applyBorder="1" applyAlignment="1" applyProtection="1">
      <alignment horizontal="center" vertical="center"/>
      <protection hidden="1"/>
    </xf>
    <xf numFmtId="165" fontId="45" fillId="0" borderId="15" xfId="0" applyNumberFormat="1" applyFont="1" applyFill="1" applyBorder="1" applyAlignment="1" applyProtection="1">
      <alignment horizontal="center" vertical="center"/>
      <protection hidden="1"/>
    </xf>
    <xf numFmtId="2" fontId="45" fillId="0" borderId="15" xfId="0" applyNumberFormat="1" applyFont="1" applyFill="1" applyBorder="1" applyAlignment="1" applyProtection="1">
      <alignment horizontal="center" vertical="center"/>
      <protection hidden="1"/>
    </xf>
    <xf numFmtId="1" fontId="45" fillId="0" borderId="15" xfId="0" applyNumberFormat="1" applyFont="1" applyFill="1" applyBorder="1" applyAlignment="1" applyProtection="1">
      <alignment horizontal="center" vertical="center"/>
      <protection hidden="1"/>
    </xf>
    <xf numFmtId="1" fontId="81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3" xfId="0" applyFont="1" applyFill="1" applyBorder="1" applyAlignment="1" applyProtection="1">
      <alignment horizontal="center" vertical="center" wrapText="1"/>
      <protection hidden="1"/>
    </xf>
    <xf numFmtId="0" fontId="36" fillId="0" borderId="58" xfId="0" applyFont="1" applyFill="1" applyBorder="1" applyAlignment="1" applyProtection="1">
      <alignment horizontal="center" vertical="center" wrapText="1"/>
      <protection hidden="1"/>
    </xf>
    <xf numFmtId="4" fontId="36" fillId="0" borderId="11" xfId="0" applyNumberFormat="1" applyFont="1" applyFill="1" applyBorder="1" applyAlignment="1" applyProtection="1">
      <alignment horizontal="center" vertical="center"/>
      <protection hidden="1"/>
    </xf>
    <xf numFmtId="4" fontId="36" fillId="0" borderId="13" xfId="0" applyNumberFormat="1" applyFont="1" applyFill="1" applyBorder="1" applyAlignment="1" applyProtection="1">
      <alignment horizontal="center" vertical="center"/>
      <protection hidden="1"/>
    </xf>
    <xf numFmtId="3" fontId="75" fillId="0" borderId="11" xfId="0" applyNumberFormat="1" applyFont="1" applyFill="1" applyBorder="1" applyAlignment="1" applyProtection="1">
      <alignment horizontal="center" vertical="center"/>
      <protection hidden="1"/>
    </xf>
    <xf numFmtId="3" fontId="75" fillId="0" borderId="12" xfId="0" applyNumberFormat="1" applyFont="1" applyFill="1" applyBorder="1" applyAlignment="1" applyProtection="1">
      <alignment horizontal="center" vertical="center"/>
      <protection hidden="1"/>
    </xf>
    <xf numFmtId="3" fontId="75" fillId="0" borderId="13" xfId="0" applyNumberFormat="1" applyFont="1" applyFill="1" applyBorder="1" applyAlignment="1" applyProtection="1">
      <alignment horizontal="center" vertical="center"/>
      <protection hidden="1"/>
    </xf>
    <xf numFmtId="165" fontId="45" fillId="0" borderId="58" xfId="0" applyNumberFormat="1" applyFont="1" applyBorder="1" applyAlignment="1" applyProtection="1">
      <alignment horizontal="center" vertical="center"/>
      <protection hidden="1"/>
    </xf>
    <xf numFmtId="3" fontId="81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81" fillId="0" borderId="15" xfId="0" applyNumberFormat="1" applyFont="1" applyFill="1" applyBorder="1" applyAlignment="1" applyProtection="1">
      <alignment horizontal="center" vertical="center" wrapText="1"/>
      <protection hidden="1"/>
    </xf>
    <xf numFmtId="3" fontId="81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81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45" fillId="0" borderId="15" xfId="0" applyFont="1" applyFill="1" applyBorder="1" applyAlignment="1" applyProtection="1">
      <alignment horizontal="center" vertical="center"/>
      <protection hidden="1"/>
    </xf>
    <xf numFmtId="1" fontId="45" fillId="0" borderId="24" xfId="0" applyNumberFormat="1" applyFont="1" applyBorder="1" applyAlignment="1" applyProtection="1">
      <alignment horizontal="center" vertical="center"/>
      <protection hidden="1"/>
    </xf>
    <xf numFmtId="2" fontId="45" fillId="0" borderId="24" xfId="0" applyNumberFormat="1" applyFont="1" applyBorder="1" applyAlignment="1" applyProtection="1">
      <alignment horizontal="center" vertical="center"/>
      <protection hidden="1"/>
    </xf>
    <xf numFmtId="0" fontId="45" fillId="0" borderId="58" xfId="0" applyFont="1" applyFill="1" applyBorder="1" applyAlignment="1" applyProtection="1">
      <alignment horizontal="center" vertical="center"/>
      <protection hidden="1"/>
    </xf>
    <xf numFmtId="0" fontId="45" fillId="0" borderId="13" xfId="0" applyFont="1" applyFill="1" applyBorder="1" applyAlignment="1" applyProtection="1">
      <alignment horizontal="center" vertical="center"/>
      <protection hidden="1"/>
    </xf>
    <xf numFmtId="0" fontId="45" fillId="0" borderId="24" xfId="0" applyFont="1" applyFill="1" applyBorder="1" applyAlignment="1" applyProtection="1">
      <alignment horizontal="center" vertical="center" wrapText="1"/>
      <protection hidden="1"/>
    </xf>
    <xf numFmtId="0" fontId="45" fillId="0" borderId="16" xfId="0" applyFont="1" applyFill="1" applyBorder="1" applyAlignment="1" applyProtection="1">
      <alignment horizontal="center" vertical="center" wrapText="1"/>
      <protection hidden="1"/>
    </xf>
    <xf numFmtId="3" fontId="81" fillId="0" borderId="14" xfId="0" applyNumberFormat="1" applyFont="1" applyFill="1" applyBorder="1" applyAlignment="1" applyProtection="1">
      <alignment horizontal="center" vertical="center"/>
      <protection hidden="1"/>
    </xf>
    <xf numFmtId="0" fontId="45" fillId="0" borderId="12" xfId="0" applyFont="1" applyFill="1" applyBorder="1" applyAlignment="1" applyProtection="1">
      <alignment horizontal="center" vertical="center" wrapText="1"/>
      <protection hidden="1"/>
    </xf>
    <xf numFmtId="1" fontId="81" fillId="0" borderId="11" xfId="0" applyNumberFormat="1" applyFont="1" applyFill="1" applyBorder="1" applyAlignment="1" applyProtection="1">
      <alignment horizontal="center" vertical="center" wrapText="1"/>
      <protection hidden="1"/>
    </xf>
    <xf numFmtId="165" fontId="59" fillId="0" borderId="10" xfId="0" applyNumberFormat="1" applyFont="1" applyBorder="1" applyAlignment="1">
      <alignment horizontal="center" vertical="center" wrapText="1"/>
    </xf>
    <xf numFmtId="0" fontId="61" fillId="0" borderId="0" xfId="0" applyFont="1" applyFill="1" applyBorder="1" applyAlignment="1" applyProtection="1">
      <alignment vertical="center"/>
      <protection hidden="1"/>
    </xf>
    <xf numFmtId="3" fontId="82" fillId="0" borderId="11" xfId="0" applyNumberFormat="1" applyFont="1" applyFill="1" applyBorder="1" applyAlignment="1" applyProtection="1">
      <alignment horizontal="center" vertical="center"/>
      <protection hidden="1"/>
    </xf>
    <xf numFmtId="3" fontId="82" fillId="0" borderId="12" xfId="0" applyNumberFormat="1" applyFont="1" applyFill="1" applyBorder="1" applyAlignment="1" applyProtection="1">
      <alignment horizontal="center" vertical="center"/>
      <protection hidden="1"/>
    </xf>
    <xf numFmtId="3" fontId="82" fillId="0" borderId="13" xfId="0" applyNumberFormat="1" applyFont="1" applyFill="1" applyBorder="1" applyAlignment="1" applyProtection="1">
      <alignment horizontal="center" vertical="center"/>
      <protection hidden="1"/>
    </xf>
    <xf numFmtId="3" fontId="36" fillId="0" borderId="12" xfId="0" applyNumberFormat="1" applyFont="1" applyFill="1" applyBorder="1" applyAlignment="1" applyProtection="1">
      <alignment horizontal="center" vertical="center"/>
      <protection hidden="1"/>
    </xf>
    <xf numFmtId="3" fontId="82" fillId="0" borderId="24" xfId="0" applyNumberFormat="1" applyFont="1" applyFill="1" applyBorder="1" applyAlignment="1" applyProtection="1">
      <alignment horizontal="center" vertical="center"/>
      <protection hidden="1"/>
    </xf>
    <xf numFmtId="3" fontId="75" fillId="0" borderId="24" xfId="0" applyNumberFormat="1" applyFont="1" applyFill="1" applyBorder="1" applyAlignment="1" applyProtection="1">
      <alignment horizontal="center" vertical="center"/>
      <protection hidden="1"/>
    </xf>
    <xf numFmtId="165" fontId="59" fillId="0" borderId="10" xfId="0" applyNumberFormat="1" applyFont="1" applyFill="1" applyBorder="1" applyAlignment="1">
      <alignment horizontal="center" vertical="center" wrapText="1"/>
    </xf>
    <xf numFmtId="3" fontId="75" fillId="0" borderId="24" xfId="0" applyNumberFormat="1" applyFont="1" applyFill="1" applyBorder="1" applyAlignment="1" applyProtection="1">
      <alignment horizontal="center" vertical="center"/>
      <protection hidden="1"/>
    </xf>
    <xf numFmtId="2" fontId="36" fillId="0" borderId="24" xfId="0" applyNumberFormat="1" applyFont="1" applyFill="1" applyBorder="1" applyAlignment="1" applyProtection="1">
      <alignment horizontal="center" vertical="center"/>
      <protection hidden="1"/>
    </xf>
    <xf numFmtId="0" fontId="79" fillId="0" borderId="10" xfId="0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2" fontId="36" fillId="0" borderId="14" xfId="0" applyNumberFormat="1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107" fillId="0" borderId="0" xfId="0" applyFont="1"/>
    <xf numFmtId="2" fontId="108" fillId="0" borderId="0" xfId="0" applyNumberFormat="1" applyFont="1"/>
    <xf numFmtId="1" fontId="45" fillId="0" borderId="14" xfId="0" applyNumberFormat="1" applyFont="1" applyFill="1" applyBorder="1" applyAlignment="1" applyProtection="1">
      <alignment horizontal="center" vertical="center" wrapText="1"/>
      <protection hidden="1"/>
    </xf>
    <xf numFmtId="1" fontId="45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81" fillId="0" borderId="11" xfId="0" applyNumberFormat="1" applyFont="1" applyFill="1" applyBorder="1" applyAlignment="1" applyProtection="1">
      <alignment horizontal="center" vertical="center"/>
      <protection hidden="1"/>
    </xf>
    <xf numFmtId="1" fontId="81" fillId="0" borderId="12" xfId="0" applyNumberFormat="1" applyFont="1" applyFill="1" applyBorder="1" applyAlignment="1" applyProtection="1">
      <alignment horizontal="center" vertical="center"/>
      <protection hidden="1"/>
    </xf>
    <xf numFmtId="1" fontId="81" fillId="0" borderId="13" xfId="0" applyNumberFormat="1" applyFont="1" applyFill="1" applyBorder="1" applyAlignment="1" applyProtection="1">
      <alignment horizontal="center" vertical="center"/>
      <protection hidden="1"/>
    </xf>
    <xf numFmtId="1" fontId="45" fillId="0" borderId="16" xfId="0" applyNumberFormat="1" applyFont="1" applyFill="1" applyBorder="1" applyAlignment="1" applyProtection="1">
      <alignment horizontal="center" vertical="center" wrapText="1"/>
      <protection hidden="1"/>
    </xf>
    <xf numFmtId="2" fontId="45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106" fillId="0" borderId="0" xfId="0" applyNumberFormat="1" applyFont="1"/>
    <xf numFmtId="0" fontId="93" fillId="0" borderId="0" xfId="95" applyFont="1" applyBorder="1" applyAlignment="1" applyProtection="1">
      <protection hidden="1"/>
    </xf>
    <xf numFmtId="0" fontId="89" fillId="0" borderId="0" xfId="0" applyFont="1"/>
    <xf numFmtId="0" fontId="90" fillId="0" borderId="0" xfId="0" applyFont="1" applyBorder="1" applyAlignment="1" applyProtection="1">
      <alignment vertical="center" wrapText="1"/>
      <protection hidden="1"/>
    </xf>
    <xf numFmtId="0" fontId="105" fillId="0" borderId="0" xfId="0" applyFont="1" applyBorder="1" applyAlignment="1">
      <alignment vertical="center" wrapText="1"/>
    </xf>
    <xf numFmtId="0" fontId="89" fillId="48" borderId="0" xfId="0" applyFont="1" applyFill="1"/>
    <xf numFmtId="0" fontId="36" fillId="48" borderId="0" xfId="0" applyFont="1" applyFill="1"/>
    <xf numFmtId="0" fontId="109" fillId="0" borderId="0" xfId="87" applyFont="1"/>
    <xf numFmtId="0" fontId="110" fillId="0" borderId="0" xfId="87" applyFont="1"/>
    <xf numFmtId="0" fontId="111" fillId="48" borderId="0" xfId="87" applyFont="1" applyFill="1"/>
    <xf numFmtId="0" fontId="53" fillId="0" borderId="0" xfId="0" applyFont="1" applyBorder="1" applyAlignment="1">
      <alignment horizontal="center" vertical="center" wrapText="1"/>
    </xf>
    <xf numFmtId="0" fontId="7" fillId="48" borderId="0" xfId="87" applyFill="1"/>
    <xf numFmtId="0" fontId="110" fillId="48" borderId="0" xfId="87" applyFont="1" applyFill="1"/>
    <xf numFmtId="0" fontId="7" fillId="0" borderId="0" xfId="87" applyFill="1"/>
    <xf numFmtId="0" fontId="57" fillId="0" borderId="0" xfId="95" applyFont="1" applyFill="1" applyBorder="1" applyAlignment="1" applyProtection="1">
      <alignment vertical="top"/>
      <protection hidden="1"/>
    </xf>
    <xf numFmtId="0" fontId="67" fillId="0" borderId="0" xfId="87" applyFont="1" applyFill="1"/>
    <xf numFmtId="0" fontId="36" fillId="0" borderId="0" xfId="0" applyFont="1" applyFill="1" applyAlignment="1">
      <alignment vertical="center" wrapText="1"/>
    </xf>
    <xf numFmtId="1" fontId="36" fillId="48" borderId="0" xfId="0" applyNumberFormat="1" applyFont="1" applyFill="1"/>
    <xf numFmtId="1" fontId="45" fillId="48" borderId="11" xfId="0" applyNumberFormat="1" applyFont="1" applyFill="1" applyBorder="1" applyAlignment="1" applyProtection="1">
      <alignment horizontal="center" vertical="center"/>
      <protection hidden="1"/>
    </xf>
    <xf numFmtId="1" fontId="45" fillId="48" borderId="12" xfId="0" applyNumberFormat="1" applyFont="1" applyFill="1" applyBorder="1" applyAlignment="1" applyProtection="1">
      <alignment horizontal="center" vertical="center"/>
      <protection hidden="1"/>
    </xf>
    <xf numFmtId="1" fontId="45" fillId="48" borderId="15" xfId="0" applyNumberFormat="1" applyFont="1" applyFill="1" applyBorder="1" applyAlignment="1" applyProtection="1">
      <alignment horizontal="center" vertical="center"/>
      <protection hidden="1"/>
    </xf>
    <xf numFmtId="0" fontId="45" fillId="48" borderId="12" xfId="0" applyFont="1" applyFill="1" applyBorder="1" applyAlignment="1" applyProtection="1">
      <alignment horizontal="center" vertical="center"/>
      <protection hidden="1"/>
    </xf>
    <xf numFmtId="0" fontId="45" fillId="48" borderId="58" xfId="0" applyFont="1" applyFill="1" applyBorder="1" applyAlignment="1" applyProtection="1">
      <alignment horizontal="center" vertical="center"/>
      <protection hidden="1"/>
    </xf>
    <xf numFmtId="0" fontId="45" fillId="48" borderId="13" xfId="0" applyFont="1" applyFill="1" applyBorder="1" applyAlignment="1" applyProtection="1">
      <alignment horizontal="center" vertical="center"/>
      <protection hidden="1"/>
    </xf>
    <xf numFmtId="0" fontId="45" fillId="48" borderId="15" xfId="0" applyFont="1" applyFill="1" applyBorder="1" applyAlignment="1" applyProtection="1">
      <alignment horizontal="center" vertical="center"/>
      <protection hidden="1"/>
    </xf>
    <xf numFmtId="3" fontId="81" fillId="48" borderId="11" xfId="0" applyNumberFormat="1" applyFont="1" applyFill="1" applyBorder="1" applyAlignment="1" applyProtection="1">
      <alignment horizontal="center" vertical="center" wrapText="1"/>
      <protection hidden="1"/>
    </xf>
    <xf numFmtId="3" fontId="81" fillId="48" borderId="15" xfId="0" applyNumberFormat="1" applyFont="1" applyFill="1" applyBorder="1" applyAlignment="1" applyProtection="1">
      <alignment horizontal="center" vertical="center" wrapText="1"/>
      <protection hidden="1"/>
    </xf>
    <xf numFmtId="3" fontId="81" fillId="48" borderId="13" xfId="0" applyNumberFormat="1" applyFont="1" applyFill="1" applyBorder="1" applyAlignment="1" applyProtection="1">
      <alignment horizontal="center" vertical="center" wrapText="1"/>
      <protection hidden="1"/>
    </xf>
    <xf numFmtId="1" fontId="45" fillId="48" borderId="14" xfId="0" applyNumberFormat="1" applyFont="1" applyFill="1" applyBorder="1" applyAlignment="1" applyProtection="1">
      <alignment horizontal="center" vertical="center" wrapText="1"/>
      <protection hidden="1"/>
    </xf>
    <xf numFmtId="1" fontId="45" fillId="48" borderId="12" xfId="0" applyNumberFormat="1" applyFont="1" applyFill="1" applyBorder="1" applyAlignment="1" applyProtection="1">
      <alignment horizontal="center" vertical="center" wrapText="1"/>
      <protection hidden="1"/>
    </xf>
    <xf numFmtId="1" fontId="45" fillId="48" borderId="24" xfId="0" applyNumberFormat="1" applyFont="1" applyFill="1" applyBorder="1" applyAlignment="1" applyProtection="1">
      <alignment horizontal="center" vertical="center" wrapText="1"/>
      <protection hidden="1"/>
    </xf>
    <xf numFmtId="1" fontId="81" fillId="48" borderId="11" xfId="0" applyNumberFormat="1" applyFont="1" applyFill="1" applyBorder="1" applyAlignment="1" applyProtection="1">
      <alignment horizontal="center" vertical="center"/>
      <protection hidden="1"/>
    </xf>
    <xf numFmtId="1" fontId="81" fillId="48" borderId="12" xfId="0" applyNumberFormat="1" applyFont="1" applyFill="1" applyBorder="1" applyAlignment="1" applyProtection="1">
      <alignment horizontal="center" vertical="center"/>
      <protection hidden="1"/>
    </xf>
    <xf numFmtId="1" fontId="81" fillId="48" borderId="12" xfId="0" applyNumberFormat="1" applyFont="1" applyFill="1" applyBorder="1" applyAlignment="1" applyProtection="1">
      <alignment horizontal="center" vertical="center" wrapText="1"/>
      <protection hidden="1"/>
    </xf>
    <xf numFmtId="1" fontId="81" fillId="48" borderId="11" xfId="0" applyNumberFormat="1" applyFont="1" applyFill="1" applyBorder="1" applyAlignment="1" applyProtection="1">
      <alignment horizontal="center" vertical="center" wrapText="1"/>
      <protection hidden="1"/>
    </xf>
    <xf numFmtId="1" fontId="81" fillId="48" borderId="13" xfId="0" applyNumberFormat="1" applyFont="1" applyFill="1" applyBorder="1" applyAlignment="1" applyProtection="1">
      <alignment horizontal="center" vertical="center"/>
      <protection hidden="1"/>
    </xf>
    <xf numFmtId="0" fontId="62" fillId="0" borderId="0" xfId="0" applyFont="1" applyFill="1"/>
    <xf numFmtId="0" fontId="62" fillId="48" borderId="0" xfId="0" applyFont="1" applyFill="1"/>
    <xf numFmtId="1" fontId="62" fillId="0" borderId="0" xfId="0" applyNumberFormat="1" applyFont="1"/>
    <xf numFmtId="0" fontId="62" fillId="48" borderId="0" xfId="0" applyFont="1" applyFill="1" applyAlignment="1">
      <alignment vertical="center"/>
    </xf>
    <xf numFmtId="1" fontId="36" fillId="0" borderId="11" xfId="0" applyNumberFormat="1" applyFont="1" applyBorder="1" applyAlignment="1" applyProtection="1">
      <alignment horizontal="center" vertical="center"/>
      <protection hidden="1"/>
    </xf>
    <xf numFmtId="1" fontId="36" fillId="0" borderId="24" xfId="0" applyNumberFormat="1" applyFont="1" applyFill="1" applyBorder="1" applyAlignment="1" applyProtection="1">
      <alignment horizontal="center" vertical="center"/>
      <protection hidden="1"/>
    </xf>
    <xf numFmtId="1" fontId="36" fillId="0" borderId="58" xfId="0" applyNumberFormat="1" applyFont="1" applyBorder="1" applyAlignment="1" applyProtection="1">
      <alignment horizontal="center" vertical="center"/>
      <protection hidden="1"/>
    </xf>
    <xf numFmtId="0" fontId="36" fillId="0" borderId="58" xfId="0" applyFont="1" applyBorder="1" applyAlignment="1" applyProtection="1">
      <alignment horizontal="center" vertical="center" wrapText="1"/>
      <protection hidden="1"/>
    </xf>
    <xf numFmtId="2" fontId="36" fillId="0" borderId="58" xfId="0" applyNumberFormat="1" applyFont="1" applyBorder="1" applyAlignment="1" applyProtection="1">
      <alignment horizontal="center" vertical="center"/>
      <protection hidden="1"/>
    </xf>
    <xf numFmtId="3" fontId="75" fillId="0" borderId="58" xfId="0" applyNumberFormat="1" applyFont="1" applyFill="1" applyBorder="1" applyAlignment="1" applyProtection="1">
      <alignment horizontal="center" vertical="center"/>
      <protection hidden="1"/>
    </xf>
    <xf numFmtId="3" fontId="75" fillId="0" borderId="15" xfId="0" applyNumberFormat="1" applyFont="1" applyFill="1" applyBorder="1" applyAlignment="1" applyProtection="1">
      <alignment horizontal="center" vertical="center"/>
      <protection hidden="1"/>
    </xf>
    <xf numFmtId="1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" fontId="36" fillId="0" borderId="16" xfId="0" applyNumberFormat="1" applyFont="1" applyBorder="1" applyAlignment="1" applyProtection="1">
      <alignment horizontal="center" vertical="center" wrapText="1"/>
      <protection hidden="1"/>
    </xf>
    <xf numFmtId="165" fontId="36" fillId="0" borderId="10" xfId="0" applyNumberFormat="1" applyFont="1" applyBorder="1" applyAlignment="1">
      <alignment horizontal="center" vertical="center" wrapText="1"/>
    </xf>
    <xf numFmtId="1" fontId="36" fillId="0" borderId="10" xfId="0" applyNumberFormat="1" applyFont="1" applyBorder="1" applyAlignment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  <protection hidden="1"/>
    </xf>
    <xf numFmtId="0" fontId="61" fillId="49" borderId="14" xfId="0" applyFont="1" applyFill="1" applyBorder="1" applyAlignment="1" applyProtection="1">
      <alignment horizontal="center" vertical="center" wrapText="1"/>
      <protection hidden="1"/>
    </xf>
    <xf numFmtId="0" fontId="53" fillId="49" borderId="10" xfId="0" applyFont="1" applyFill="1" applyBorder="1" applyAlignment="1">
      <alignment horizontal="center" vertical="center" wrapText="1"/>
    </xf>
    <xf numFmtId="0" fontId="61" fillId="49" borderId="16" xfId="0" applyFont="1" applyFill="1" applyBorder="1" applyAlignment="1" applyProtection="1">
      <alignment horizontal="center" vertical="center" wrapText="1"/>
      <protection hidden="1"/>
    </xf>
    <xf numFmtId="3" fontId="53" fillId="49" borderId="10" xfId="0" applyNumberFormat="1" applyFont="1" applyFill="1" applyBorder="1" applyAlignment="1" applyProtection="1">
      <alignment horizontal="center" vertical="center" wrapText="1"/>
      <protection hidden="1"/>
    </xf>
    <xf numFmtId="165" fontId="45" fillId="49" borderId="12" xfId="0" applyNumberFormat="1" applyFont="1" applyFill="1" applyBorder="1" applyAlignment="1" applyProtection="1">
      <alignment horizontal="center" vertical="center"/>
      <protection hidden="1"/>
    </xf>
    <xf numFmtId="0" fontId="45" fillId="49" borderId="12" xfId="0" applyFont="1" applyFill="1" applyBorder="1" applyAlignment="1" applyProtection="1">
      <alignment horizontal="center" vertical="center"/>
      <protection hidden="1"/>
    </xf>
    <xf numFmtId="2" fontId="45" fillId="49" borderId="12" xfId="0" applyNumberFormat="1" applyFont="1" applyFill="1" applyBorder="1" applyAlignment="1" applyProtection="1">
      <alignment horizontal="center" vertical="center"/>
      <protection hidden="1"/>
    </xf>
    <xf numFmtId="1" fontId="45" fillId="49" borderId="12" xfId="0" applyNumberFormat="1" applyFont="1" applyFill="1" applyBorder="1" applyAlignment="1" applyProtection="1">
      <alignment horizontal="center" vertical="center"/>
      <protection hidden="1"/>
    </xf>
    <xf numFmtId="3" fontId="81" fillId="49" borderId="12" xfId="0" applyNumberFormat="1" applyFont="1" applyFill="1" applyBorder="1" applyAlignment="1" applyProtection="1">
      <alignment horizontal="center" vertical="center"/>
      <protection hidden="1"/>
    </xf>
    <xf numFmtId="0" fontId="56" fillId="49" borderId="29" xfId="96" applyFont="1" applyFill="1" applyBorder="1" applyAlignment="1">
      <alignment horizontal="center" vertical="center" wrapText="1"/>
    </xf>
    <xf numFmtId="0" fontId="56" fillId="49" borderId="10" xfId="96" applyFont="1" applyFill="1" applyBorder="1" applyAlignment="1">
      <alignment horizontal="center" vertical="center" wrapText="1"/>
    </xf>
    <xf numFmtId="0" fontId="35" fillId="49" borderId="10" xfId="0" applyFont="1" applyFill="1" applyBorder="1" applyAlignment="1" applyProtection="1">
      <alignment horizontal="center" vertical="center" wrapText="1"/>
      <protection hidden="1"/>
    </xf>
    <xf numFmtId="0" fontId="35" fillId="49" borderId="10" xfId="0" applyNumberFormat="1" applyFont="1" applyFill="1" applyBorder="1" applyAlignment="1" applyProtection="1">
      <alignment horizontal="center" vertical="center" wrapText="1"/>
      <protection hidden="1"/>
    </xf>
    <xf numFmtId="3" fontId="35" fillId="49" borderId="10" xfId="0" applyNumberFormat="1" applyFont="1" applyFill="1" applyBorder="1" applyAlignment="1" applyProtection="1">
      <alignment horizontal="center" vertical="center" wrapText="1"/>
      <protection hidden="1"/>
    </xf>
    <xf numFmtId="0" fontId="35" fillId="49" borderId="10" xfId="0" applyFont="1" applyFill="1" applyBorder="1" applyAlignment="1">
      <alignment horizontal="center" vertical="center" wrapText="1"/>
    </xf>
    <xf numFmtId="0" fontId="37" fillId="49" borderId="10" xfId="0" applyFont="1" applyFill="1" applyBorder="1" applyAlignment="1">
      <alignment horizontal="center" vertical="center"/>
    </xf>
    <xf numFmtId="0" fontId="90" fillId="49" borderId="16" xfId="87" applyFont="1" applyFill="1" applyBorder="1" applyAlignment="1" applyProtection="1">
      <alignment horizontal="center" vertical="center" wrapText="1"/>
      <protection hidden="1"/>
    </xf>
    <xf numFmtId="0" fontId="90" fillId="49" borderId="10" xfId="87" applyFont="1" applyFill="1" applyBorder="1" applyAlignment="1" applyProtection="1">
      <alignment horizontal="center" vertical="center" wrapText="1"/>
      <protection hidden="1"/>
    </xf>
    <xf numFmtId="0" fontId="90" fillId="49" borderId="20" xfId="86" applyFont="1" applyFill="1" applyBorder="1" applyAlignment="1" applyProtection="1">
      <alignment horizontal="center" vertical="center" wrapText="1"/>
      <protection hidden="1"/>
    </xf>
    <xf numFmtId="0" fontId="90" fillId="49" borderId="10" xfId="86" applyFont="1" applyFill="1" applyBorder="1" applyAlignment="1" applyProtection="1">
      <alignment horizontal="center" vertical="center" wrapText="1"/>
      <protection hidden="1"/>
    </xf>
    <xf numFmtId="0" fontId="40" fillId="49" borderId="10" xfId="87" applyFont="1" applyFill="1" applyBorder="1" applyAlignment="1">
      <alignment horizontal="center" vertical="center"/>
    </xf>
    <xf numFmtId="0" fontId="61" fillId="49" borderId="10" xfId="0" applyFont="1" applyFill="1" applyBorder="1" applyAlignment="1">
      <alignment horizontal="center" vertical="center"/>
    </xf>
    <xf numFmtId="0" fontId="61" fillId="49" borderId="10" xfId="202" applyFont="1" applyFill="1" applyBorder="1" applyAlignment="1">
      <alignment horizontal="center" vertical="center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106" fillId="0" borderId="14" xfId="0" applyFont="1" applyBorder="1" applyAlignment="1">
      <alignment horizontal="center" vertical="center"/>
    </xf>
    <xf numFmtId="0" fontId="106" fillId="0" borderId="16" xfId="0" applyFont="1" applyBorder="1" applyAlignment="1">
      <alignment horizontal="center" vertical="center"/>
    </xf>
    <xf numFmtId="0" fontId="47" fillId="0" borderId="14" xfId="0" applyFont="1" applyBorder="1" applyAlignment="1" applyProtection="1">
      <alignment horizontal="center" vertical="center" wrapText="1"/>
      <protection hidden="1"/>
    </xf>
    <xf numFmtId="0" fontId="47" fillId="0" borderId="24" xfId="0" applyFont="1" applyBorder="1" applyAlignment="1" applyProtection="1">
      <alignment horizontal="center" vertical="center" wrapText="1"/>
      <protection hidden="1"/>
    </xf>
    <xf numFmtId="0" fontId="47" fillId="0" borderId="16" xfId="0" applyFont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>
      <alignment horizontal="center"/>
    </xf>
    <xf numFmtId="0" fontId="17" fillId="0" borderId="73" xfId="0" applyFont="1" applyBorder="1" applyAlignment="1">
      <alignment horizontal="center"/>
    </xf>
    <xf numFmtId="0" fontId="57" fillId="0" borderId="74" xfId="95" applyFont="1" applyBorder="1" applyAlignment="1" applyProtection="1">
      <alignment horizontal="center"/>
      <protection hidden="1"/>
    </xf>
    <xf numFmtId="0" fontId="61" fillId="49" borderId="14" xfId="0" applyFont="1" applyFill="1" applyBorder="1" applyAlignment="1" applyProtection="1">
      <alignment horizontal="center" vertical="center"/>
      <protection hidden="1"/>
    </xf>
    <xf numFmtId="0" fontId="61" fillId="49" borderId="16" xfId="0" applyFont="1" applyFill="1" applyBorder="1" applyAlignment="1" applyProtection="1">
      <alignment horizontal="center" vertical="center"/>
      <protection hidden="1"/>
    </xf>
    <xf numFmtId="0" fontId="61" fillId="49" borderId="10" xfId="0" applyFont="1" applyFill="1" applyBorder="1" applyAlignment="1" applyProtection="1">
      <alignment horizontal="center" vertical="center" wrapText="1"/>
      <protection hidden="1"/>
    </xf>
    <xf numFmtId="0" fontId="61" fillId="49" borderId="14" xfId="0" applyFont="1" applyFill="1" applyBorder="1" applyAlignment="1" applyProtection="1">
      <alignment horizontal="center" vertical="center" wrapText="1"/>
      <protection hidden="1"/>
    </xf>
    <xf numFmtId="0" fontId="61" fillId="49" borderId="16" xfId="0" applyFont="1" applyFill="1" applyBorder="1" applyAlignment="1" applyProtection="1">
      <alignment horizontal="center" vertical="center" wrapText="1"/>
      <protection hidden="1"/>
    </xf>
    <xf numFmtId="0" fontId="47" fillId="0" borderId="14" xfId="0" applyFont="1" applyFill="1" applyBorder="1" applyAlignment="1" applyProtection="1">
      <alignment horizontal="center" vertical="center" wrapText="1"/>
      <protection hidden="1"/>
    </xf>
    <xf numFmtId="0" fontId="47" fillId="0" borderId="24" xfId="0" applyFont="1" applyFill="1" applyBorder="1" applyAlignment="1" applyProtection="1">
      <alignment horizontal="center" vertical="center" wrapText="1"/>
      <protection hidden="1"/>
    </xf>
    <xf numFmtId="0" fontId="47" fillId="0" borderId="16" xfId="0" applyFont="1" applyFill="1" applyBorder="1" applyAlignment="1" applyProtection="1">
      <alignment horizontal="center" vertical="center" wrapText="1"/>
      <protection hidden="1"/>
    </xf>
    <xf numFmtId="0" fontId="35" fillId="0" borderId="14" xfId="0" applyFont="1" applyBorder="1" applyAlignment="1" applyProtection="1">
      <alignment horizontal="center" vertical="center" wrapText="1"/>
      <protection hidden="1"/>
    </xf>
    <xf numFmtId="0" fontId="35" fillId="0" borderId="24" xfId="0" applyFont="1" applyBorder="1" applyAlignment="1" applyProtection="1">
      <alignment horizontal="center" vertical="center" wrapText="1"/>
      <protection hidden="1"/>
    </xf>
    <xf numFmtId="9" fontId="55" fillId="0" borderId="20" xfId="100" applyFont="1" applyBorder="1" applyAlignment="1">
      <alignment horizontal="center" vertical="center"/>
    </xf>
    <xf numFmtId="9" fontId="55" fillId="0" borderId="21" xfId="100" applyFont="1" applyBorder="1" applyAlignment="1">
      <alignment horizontal="center" vertical="center"/>
    </xf>
    <xf numFmtId="9" fontId="55" fillId="0" borderId="29" xfId="100" applyFont="1" applyBorder="1" applyAlignment="1">
      <alignment horizontal="center" vertical="center"/>
    </xf>
    <xf numFmtId="0" fontId="35" fillId="25" borderId="10" xfId="0" applyFont="1" applyFill="1" applyBorder="1" applyAlignment="1" applyProtection="1">
      <alignment horizontal="center" vertical="center" wrapText="1"/>
      <protection hidden="1"/>
    </xf>
    <xf numFmtId="0" fontId="35" fillId="0" borderId="10" xfId="0" applyFont="1" applyBorder="1" applyAlignment="1" applyProtection="1">
      <alignment horizontal="center" vertical="center" wrapText="1"/>
      <protection hidden="1"/>
    </xf>
    <xf numFmtId="0" fontId="35" fillId="0" borderId="16" xfId="0" applyFont="1" applyBorder="1" applyAlignment="1" applyProtection="1">
      <alignment horizontal="center" vertical="center" wrapText="1"/>
      <protection hidden="1"/>
    </xf>
    <xf numFmtId="3" fontId="75" fillId="0" borderId="14" xfId="0" applyNumberFormat="1" applyFont="1" applyFill="1" applyBorder="1" applyAlignment="1" applyProtection="1">
      <alignment horizontal="center" vertical="center"/>
      <protection hidden="1"/>
    </xf>
    <xf numFmtId="3" fontId="75" fillId="0" borderId="24" xfId="0" applyNumberFormat="1" applyFont="1" applyFill="1" applyBorder="1" applyAlignment="1" applyProtection="1">
      <alignment horizontal="center" vertical="center"/>
      <protection hidden="1"/>
    </xf>
    <xf numFmtId="3" fontId="75" fillId="0" borderId="16" xfId="0" applyNumberFormat="1" applyFont="1" applyFill="1" applyBorder="1" applyAlignment="1" applyProtection="1">
      <alignment horizontal="center" vertical="center"/>
      <protection hidden="1"/>
    </xf>
    <xf numFmtId="0" fontId="36" fillId="0" borderId="14" xfId="0" applyFont="1" applyBorder="1" applyAlignment="1" applyProtection="1">
      <alignment horizontal="center" vertical="center" wrapText="1"/>
      <protection hidden="1"/>
    </xf>
    <xf numFmtId="0" fontId="36" fillId="0" borderId="16" xfId="0" applyFont="1" applyBorder="1" applyAlignment="1" applyProtection="1">
      <alignment horizontal="center" vertical="center" wrapText="1"/>
      <protection hidden="1"/>
    </xf>
    <xf numFmtId="0" fontId="76" fillId="0" borderId="17" xfId="0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6" fillId="0" borderId="18" xfId="0" applyFont="1" applyBorder="1" applyAlignment="1">
      <alignment horizontal="center" vertical="center" wrapText="1"/>
    </xf>
    <xf numFmtId="0" fontId="76" fillId="0" borderId="22" xfId="0" applyFont="1" applyBorder="1" applyAlignment="1">
      <alignment horizontal="center" vertical="center" wrapText="1"/>
    </xf>
    <xf numFmtId="0" fontId="76" fillId="0" borderId="19" xfId="0" applyFont="1" applyBorder="1" applyAlignment="1">
      <alignment horizontal="center" vertical="center" wrapText="1"/>
    </xf>
    <xf numFmtId="0" fontId="76" fillId="0" borderId="45" xfId="0" applyFont="1" applyBorder="1" applyAlignment="1">
      <alignment horizontal="center" vertical="center" wrapText="1"/>
    </xf>
    <xf numFmtId="0" fontId="36" fillId="0" borderId="24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24" xfId="0" applyFont="1" applyBorder="1" applyAlignment="1" applyProtection="1">
      <alignment horizontal="center" vertical="center" wrapText="1"/>
      <protection hidden="1"/>
    </xf>
    <xf numFmtId="0" fontId="35" fillId="24" borderId="17" xfId="0" applyFont="1" applyFill="1" applyBorder="1" applyAlignment="1" applyProtection="1">
      <alignment horizontal="center" vertical="center" wrapText="1"/>
      <protection hidden="1"/>
    </xf>
    <xf numFmtId="0" fontId="35" fillId="24" borderId="23" xfId="0" applyFont="1" applyFill="1" applyBorder="1" applyAlignment="1" applyProtection="1">
      <alignment horizontal="center" vertical="center" wrapText="1"/>
      <protection hidden="1"/>
    </xf>
    <xf numFmtId="0" fontId="35" fillId="24" borderId="18" xfId="0" applyFont="1" applyFill="1" applyBorder="1" applyAlignment="1" applyProtection="1">
      <alignment horizontal="center" vertical="center" wrapText="1"/>
      <protection hidden="1"/>
    </xf>
    <xf numFmtId="0" fontId="35" fillId="24" borderId="25" xfId="0" applyFont="1" applyFill="1" applyBorder="1" applyAlignment="1" applyProtection="1">
      <alignment horizontal="center" vertical="center" wrapText="1"/>
      <protection hidden="1"/>
    </xf>
    <xf numFmtId="0" fontId="35" fillId="24" borderId="0" xfId="0" applyFont="1" applyFill="1" applyBorder="1" applyAlignment="1" applyProtection="1">
      <alignment horizontal="center" vertical="center" wrapText="1"/>
      <protection hidden="1"/>
    </xf>
    <xf numFmtId="0" fontId="35" fillId="24" borderId="44" xfId="0" applyFont="1" applyFill="1" applyBorder="1" applyAlignment="1" applyProtection="1">
      <alignment horizontal="center" vertical="center" wrapText="1"/>
      <protection hidden="1"/>
    </xf>
    <xf numFmtId="0" fontId="35" fillId="24" borderId="22" xfId="0" applyFont="1" applyFill="1" applyBorder="1" applyAlignment="1" applyProtection="1">
      <alignment horizontal="center" vertical="center" wrapText="1"/>
      <protection hidden="1"/>
    </xf>
    <xf numFmtId="0" fontId="35" fillId="24" borderId="19" xfId="0" applyFont="1" applyFill="1" applyBorder="1" applyAlignment="1" applyProtection="1">
      <alignment horizontal="center" vertical="center" wrapText="1"/>
      <protection hidden="1"/>
    </xf>
    <xf numFmtId="0" fontId="35" fillId="24" borderId="45" xfId="0" applyFont="1" applyFill="1" applyBorder="1" applyAlignment="1" applyProtection="1">
      <alignment horizontal="center" vertical="center" wrapText="1"/>
      <protection hidden="1"/>
    </xf>
    <xf numFmtId="2" fontId="36" fillId="0" borderId="14" xfId="0" applyNumberFormat="1" applyFont="1" applyFill="1" applyBorder="1" applyAlignment="1" applyProtection="1">
      <alignment horizontal="center" vertical="center"/>
      <protection hidden="1"/>
    </xf>
    <xf numFmtId="2" fontId="36" fillId="0" borderId="24" xfId="0" applyNumberFormat="1" applyFont="1" applyFill="1" applyBorder="1" applyAlignment="1" applyProtection="1">
      <alignment horizontal="center" vertical="center"/>
      <protection hidden="1"/>
    </xf>
    <xf numFmtId="2" fontId="36" fillId="0" borderId="16" xfId="0" applyNumberFormat="1" applyFont="1" applyFill="1" applyBorder="1" applyAlignment="1" applyProtection="1">
      <alignment horizontal="center" vertical="center"/>
      <protection hidden="1"/>
    </xf>
    <xf numFmtId="0" fontId="36" fillId="0" borderId="14" xfId="0" applyNumberFormat="1" applyFont="1" applyBorder="1" applyAlignment="1" applyProtection="1">
      <alignment horizontal="center" vertical="center" wrapText="1"/>
      <protection hidden="1"/>
    </xf>
    <xf numFmtId="0" fontId="36" fillId="0" borderId="24" xfId="0" applyNumberFormat="1" applyFont="1" applyBorder="1" applyAlignment="1" applyProtection="1">
      <alignment horizontal="center" vertical="center" wrapText="1"/>
      <protection hidden="1"/>
    </xf>
    <xf numFmtId="0" fontId="36" fillId="0" borderId="16" xfId="0" applyNumberFormat="1" applyFont="1" applyBorder="1" applyAlignment="1" applyProtection="1">
      <alignment horizontal="center" vertical="center" wrapText="1"/>
      <protection hidden="1"/>
    </xf>
    <xf numFmtId="0" fontId="47" fillId="0" borderId="10" xfId="0" applyFont="1" applyFill="1" applyBorder="1" applyAlignment="1" applyProtection="1">
      <alignment horizontal="center" vertical="center" wrapText="1"/>
      <protection hidden="1"/>
    </xf>
    <xf numFmtId="0" fontId="35" fillId="24" borderId="20" xfId="0" applyFont="1" applyFill="1" applyBorder="1" applyAlignment="1" applyProtection="1">
      <alignment horizontal="center" vertical="center" wrapText="1"/>
      <protection hidden="1"/>
    </xf>
    <xf numFmtId="0" fontId="35" fillId="24" borderId="29" xfId="0" applyFont="1" applyFill="1" applyBorder="1" applyAlignment="1" applyProtection="1">
      <alignment horizontal="center" vertical="center" wrapText="1"/>
      <protection hidden="1"/>
    </xf>
    <xf numFmtId="0" fontId="36" fillId="0" borderId="14" xfId="0" applyFont="1" applyFill="1" applyBorder="1" applyAlignment="1" applyProtection="1">
      <alignment horizontal="center" vertical="center"/>
      <protection hidden="1"/>
    </xf>
    <xf numFmtId="0" fontId="36" fillId="0" borderId="16" xfId="0" applyFont="1" applyFill="1" applyBorder="1" applyAlignment="1" applyProtection="1">
      <alignment horizontal="center" vertical="center"/>
      <protection hidden="1"/>
    </xf>
    <xf numFmtId="0" fontId="36" fillId="0" borderId="14" xfId="0" applyFont="1" applyFill="1" applyBorder="1" applyAlignment="1" applyProtection="1">
      <alignment horizontal="center" vertical="center" wrapText="1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0" fontId="35" fillId="0" borderId="20" xfId="0" applyFont="1" applyFill="1" applyBorder="1" applyAlignment="1" applyProtection="1">
      <alignment horizontal="center" vertical="center" wrapText="1"/>
      <protection hidden="1"/>
    </xf>
    <xf numFmtId="0" fontId="35" fillId="0" borderId="29" xfId="0" applyFont="1" applyFill="1" applyBorder="1" applyAlignment="1" applyProtection="1">
      <alignment horizontal="center" vertical="center" wrapText="1"/>
      <protection hidden="1"/>
    </xf>
    <xf numFmtId="0" fontId="35" fillId="0" borderId="20" xfId="0" applyFont="1" applyBorder="1" applyAlignment="1" applyProtection="1">
      <alignment horizontal="center" vertical="center" wrapText="1"/>
      <protection hidden="1"/>
    </xf>
    <xf numFmtId="0" fontId="35" fillId="0" borderId="29" xfId="0" applyFont="1" applyBorder="1" applyAlignment="1" applyProtection="1">
      <alignment horizontal="center" vertical="center" wrapText="1"/>
      <protection hidden="1"/>
    </xf>
    <xf numFmtId="0" fontId="35" fillId="0" borderId="14" xfId="0" applyFont="1" applyFill="1" applyBorder="1" applyAlignment="1" applyProtection="1">
      <alignment horizontal="center" vertical="center" wrapText="1"/>
      <protection hidden="1"/>
    </xf>
    <xf numFmtId="0" fontId="35" fillId="0" borderId="16" xfId="0" applyFont="1" applyFill="1" applyBorder="1" applyAlignment="1" applyProtection="1">
      <alignment horizontal="center" vertical="center" wrapText="1"/>
      <protection hidden="1"/>
    </xf>
    <xf numFmtId="0" fontId="44" fillId="0" borderId="74" xfId="95" applyFont="1" applyBorder="1" applyAlignment="1" applyProtection="1">
      <alignment horizontal="center"/>
      <protection hidden="1"/>
    </xf>
    <xf numFmtId="0" fontId="35" fillId="0" borderId="12" xfId="0" applyFont="1" applyFill="1" applyBorder="1" applyAlignment="1" applyProtection="1">
      <alignment horizontal="center" vertical="center" wrapText="1"/>
      <protection hidden="1"/>
    </xf>
    <xf numFmtId="0" fontId="36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58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24" xfId="0" applyFont="1" applyFill="1" applyBorder="1" applyAlignment="1" applyProtection="1">
      <alignment horizontal="center" vertical="center" wrapText="1"/>
      <protection hidden="1"/>
    </xf>
    <xf numFmtId="0" fontId="83" fillId="0" borderId="14" xfId="0" applyFont="1" applyFill="1" applyBorder="1" applyAlignment="1" applyProtection="1">
      <alignment horizontal="center" vertical="center" wrapText="1"/>
      <protection hidden="1"/>
    </xf>
    <xf numFmtId="0" fontId="83" fillId="0" borderId="24" xfId="0" applyFont="1" applyFill="1" applyBorder="1" applyAlignment="1" applyProtection="1">
      <alignment horizontal="center" vertical="center" wrapText="1"/>
      <protection hidden="1"/>
    </xf>
    <xf numFmtId="0" fontId="83" fillId="0" borderId="16" xfId="0" applyFont="1" applyFill="1" applyBorder="1" applyAlignment="1" applyProtection="1">
      <alignment horizontal="center" vertical="center" wrapText="1"/>
      <protection hidden="1"/>
    </xf>
    <xf numFmtId="0" fontId="36" fillId="0" borderId="15" xfId="0" applyNumberFormat="1" applyFont="1" applyBorder="1" applyAlignment="1" applyProtection="1">
      <alignment horizontal="center" vertical="center" wrapText="1"/>
      <protection hidden="1"/>
    </xf>
    <xf numFmtId="0" fontId="35" fillId="49" borderId="10" xfId="0" applyFont="1" applyFill="1" applyBorder="1" applyAlignment="1" applyProtection="1">
      <alignment horizontal="center" vertical="center" wrapText="1"/>
      <protection hidden="1"/>
    </xf>
    <xf numFmtId="0" fontId="35" fillId="0" borderId="11" xfId="0" applyFont="1" applyBorder="1" applyAlignment="1" applyProtection="1">
      <alignment horizontal="center" vertical="center" wrapText="1"/>
      <protection hidden="1"/>
    </xf>
    <xf numFmtId="0" fontId="35" fillId="0" borderId="12" xfId="0" applyFont="1" applyBorder="1" applyAlignment="1" applyProtection="1">
      <alignment horizontal="center" vertical="center" wrapText="1"/>
      <protection hidden="1"/>
    </xf>
    <xf numFmtId="0" fontId="35" fillId="0" borderId="13" xfId="0" applyFont="1" applyFill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36" fillId="0" borderId="24" xfId="0" applyFont="1" applyFill="1" applyBorder="1" applyAlignment="1" applyProtection="1">
      <alignment horizontal="center" vertical="center" wrapText="1"/>
      <protection hidden="1"/>
    </xf>
    <xf numFmtId="165" fontId="36" fillId="0" borderId="14" xfId="0" applyNumberFormat="1" applyFont="1" applyFill="1" applyBorder="1" applyAlignment="1" applyProtection="1">
      <alignment horizontal="center" vertical="center"/>
      <protection hidden="1"/>
    </xf>
    <xf numFmtId="165" fontId="36" fillId="0" borderId="16" xfId="0" applyNumberFormat="1" applyFont="1" applyFill="1" applyBorder="1" applyAlignment="1" applyProtection="1">
      <alignment horizontal="center" vertical="center"/>
      <protection hidden="1"/>
    </xf>
    <xf numFmtId="0" fontId="35" fillId="24" borderId="10" xfId="0" applyFont="1" applyFill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5" fillId="0" borderId="20" xfId="0" applyFont="1" applyBorder="1" applyAlignment="1" applyProtection="1">
      <alignment horizontal="center" vertical="center"/>
      <protection hidden="1"/>
    </xf>
    <xf numFmtId="0" fontId="35" fillId="0" borderId="29" xfId="0" applyFont="1" applyBorder="1" applyAlignment="1" applyProtection="1">
      <alignment horizontal="center" vertical="center"/>
      <protection hidden="1"/>
    </xf>
    <xf numFmtId="3" fontId="82" fillId="0" borderId="14" xfId="0" applyNumberFormat="1" applyFont="1" applyFill="1" applyBorder="1" applyAlignment="1" applyProtection="1">
      <alignment horizontal="center" vertical="center"/>
      <protection hidden="1"/>
    </xf>
    <xf numFmtId="3" fontId="82" fillId="0" borderId="16" xfId="0" applyNumberFormat="1" applyFont="1" applyFill="1" applyBorder="1" applyAlignment="1" applyProtection="1">
      <alignment horizontal="center" vertical="center"/>
      <protection hidden="1"/>
    </xf>
    <xf numFmtId="0" fontId="35" fillId="0" borderId="10" xfId="0" applyFont="1" applyFill="1" applyBorder="1" applyAlignment="1" applyProtection="1">
      <alignment horizontal="center" vertical="center" wrapText="1"/>
      <protection hidden="1"/>
    </xf>
    <xf numFmtId="0" fontId="36" fillId="0" borderId="10" xfId="0" applyFont="1" applyFill="1" applyBorder="1" applyAlignment="1" applyProtection="1">
      <alignment horizontal="center" vertical="center"/>
      <protection hidden="1"/>
    </xf>
    <xf numFmtId="0" fontId="35" fillId="0" borderId="26" xfId="0" applyFont="1" applyFill="1" applyBorder="1" applyAlignment="1" applyProtection="1">
      <alignment horizontal="left" vertical="center"/>
      <protection hidden="1"/>
    </xf>
    <xf numFmtId="0" fontId="36" fillId="0" borderId="30" xfId="0" applyFont="1" applyFill="1" applyBorder="1" applyAlignment="1" applyProtection="1">
      <alignment horizontal="left" vertical="center"/>
      <protection hidden="1"/>
    </xf>
    <xf numFmtId="0" fontId="36" fillId="0" borderId="20" xfId="0" applyFont="1" applyFill="1" applyBorder="1" applyAlignment="1" applyProtection="1">
      <alignment horizontal="center" vertical="center"/>
      <protection hidden="1"/>
    </xf>
    <xf numFmtId="0" fontId="36" fillId="0" borderId="21" xfId="0" applyFont="1" applyFill="1" applyBorder="1" applyAlignment="1" applyProtection="1">
      <alignment horizontal="center" vertical="center"/>
      <protection hidden="1"/>
    </xf>
    <xf numFmtId="0" fontId="36" fillId="0" borderId="29" xfId="0" applyFont="1" applyFill="1" applyBorder="1" applyAlignment="1" applyProtection="1">
      <alignment horizontal="center" vertical="center"/>
      <protection hidden="1"/>
    </xf>
    <xf numFmtId="1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20" xfId="0" applyNumberFormat="1" applyFont="1" applyFill="1" applyBorder="1" applyAlignment="1" applyProtection="1">
      <alignment horizontal="center" vertical="center" wrapText="1"/>
      <protection hidden="1"/>
    </xf>
    <xf numFmtId="2" fontId="36" fillId="0" borderId="21" xfId="0" applyNumberFormat="1" applyFont="1" applyFill="1" applyBorder="1" applyAlignment="1" applyProtection="1">
      <alignment horizontal="center" vertical="center" wrapText="1"/>
      <protection hidden="1"/>
    </xf>
    <xf numFmtId="2" fontId="36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1" xfId="0" applyFont="1" applyFill="1" applyBorder="1" applyAlignment="1" applyProtection="1">
      <alignment horizontal="center" vertical="center"/>
      <protection hidden="1"/>
    </xf>
    <xf numFmtId="0" fontId="36" fillId="0" borderId="12" xfId="0" applyFont="1" applyFill="1" applyBorder="1" applyAlignment="1" applyProtection="1">
      <alignment horizontal="center" vertical="center"/>
      <protection hidden="1"/>
    </xf>
    <xf numFmtId="0" fontId="36" fillId="0" borderId="13" xfId="0" applyFont="1" applyFill="1" applyBorder="1" applyAlignment="1" applyProtection="1">
      <alignment horizontal="center" vertical="center"/>
      <protection hidden="1"/>
    </xf>
    <xf numFmtId="0" fontId="35" fillId="0" borderId="27" xfId="0" applyFont="1" applyFill="1" applyBorder="1" applyAlignment="1" applyProtection="1">
      <alignment horizontal="left" vertical="center"/>
      <protection hidden="1"/>
    </xf>
    <xf numFmtId="0" fontId="36" fillId="0" borderId="32" xfId="0" applyFont="1" applyFill="1" applyBorder="1" applyAlignment="1" applyProtection="1">
      <alignment horizontal="left" vertical="center"/>
      <protection hidden="1"/>
    </xf>
    <xf numFmtId="0" fontId="35" fillId="0" borderId="28" xfId="0" applyFont="1" applyFill="1" applyBorder="1" applyAlignment="1" applyProtection="1">
      <alignment horizontal="left" vertical="center"/>
      <protection hidden="1"/>
    </xf>
    <xf numFmtId="0" fontId="36" fillId="0" borderId="31" xfId="0" applyFont="1" applyFill="1" applyBorder="1" applyAlignment="1" applyProtection="1">
      <alignment horizontal="left" vertical="center"/>
      <protection hidden="1"/>
    </xf>
    <xf numFmtId="0" fontId="36" fillId="0" borderId="14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center" vertical="center" wrapText="1"/>
    </xf>
    <xf numFmtId="2" fontId="36" fillId="0" borderId="14" xfId="0" applyNumberFormat="1" applyFont="1" applyFill="1" applyBorder="1" applyAlignment="1">
      <alignment horizontal="center" vertical="center" wrapText="1"/>
    </xf>
    <xf numFmtId="2" fontId="36" fillId="0" borderId="16" xfId="0" applyNumberFormat="1" applyFont="1" applyFill="1" applyBorder="1" applyAlignment="1">
      <alignment horizontal="center" vertical="center" wrapText="1"/>
    </xf>
    <xf numFmtId="165" fontId="36" fillId="0" borderId="14" xfId="0" applyNumberFormat="1" applyFont="1" applyBorder="1" applyAlignment="1" applyProtection="1">
      <alignment horizontal="center" vertical="center" wrapText="1"/>
      <protection hidden="1"/>
    </xf>
    <xf numFmtId="165" fontId="36" fillId="0" borderId="24" xfId="0" applyNumberFormat="1" applyFont="1" applyBorder="1" applyAlignment="1" applyProtection="1">
      <alignment horizontal="center" vertical="center" wrapText="1"/>
      <protection hidden="1"/>
    </xf>
    <xf numFmtId="165" fontId="36" fillId="0" borderId="16" xfId="0" applyNumberFormat="1" applyFont="1" applyBorder="1" applyAlignment="1" applyProtection="1">
      <alignment horizontal="center" vertical="center" wrapText="1"/>
      <protection hidden="1"/>
    </xf>
    <xf numFmtId="3" fontId="82" fillId="0" borderId="20" xfId="0" applyNumberFormat="1" applyFont="1" applyBorder="1" applyAlignment="1" applyProtection="1">
      <alignment horizontal="center" vertical="center" wrapText="1"/>
      <protection hidden="1"/>
    </xf>
    <xf numFmtId="3" fontId="82" fillId="0" borderId="21" xfId="0" applyNumberFormat="1" applyFont="1" applyBorder="1" applyAlignment="1" applyProtection="1">
      <alignment horizontal="center" vertical="center" wrapText="1"/>
      <protection hidden="1"/>
    </xf>
    <xf numFmtId="3" fontId="82" fillId="0" borderId="29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Fill="1" applyBorder="1" applyAlignment="1">
      <alignment horizontal="center" vertical="center" wrapText="1"/>
    </xf>
    <xf numFmtId="3" fontId="82" fillId="0" borderId="26" xfId="0" applyNumberFormat="1" applyFont="1" applyFill="1" applyBorder="1" applyAlignment="1" applyProtection="1">
      <alignment horizontal="center" vertical="center" wrapText="1"/>
      <protection hidden="1"/>
    </xf>
    <xf numFmtId="3" fontId="82" fillId="0" borderId="42" xfId="0" applyNumberFormat="1" applyFont="1" applyFill="1" applyBorder="1" applyAlignment="1" applyProtection="1">
      <alignment horizontal="center" vertical="center" wrapText="1"/>
      <protection hidden="1"/>
    </xf>
    <xf numFmtId="3" fontId="82" fillId="0" borderId="30" xfId="0" applyNumberFormat="1" applyFont="1" applyFill="1" applyBorder="1" applyAlignment="1" applyProtection="1">
      <alignment horizontal="center" vertical="center" wrapText="1"/>
      <protection hidden="1"/>
    </xf>
    <xf numFmtId="3" fontId="82" fillId="0" borderId="28" xfId="0" applyNumberFormat="1" applyFont="1" applyFill="1" applyBorder="1" applyAlignment="1" applyProtection="1">
      <alignment horizontal="center" vertical="center" wrapText="1"/>
      <protection hidden="1"/>
    </xf>
    <xf numFmtId="3" fontId="82" fillId="0" borderId="33" xfId="0" applyNumberFormat="1" applyFont="1" applyFill="1" applyBorder="1" applyAlignment="1" applyProtection="1">
      <alignment horizontal="center" vertical="center" wrapText="1"/>
      <protection hidden="1"/>
    </xf>
    <xf numFmtId="3" fontId="82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83" fillId="49" borderId="46" xfId="0" applyFont="1" applyFill="1" applyBorder="1" applyAlignment="1">
      <alignment horizontal="center" vertical="center" wrapText="1"/>
    </xf>
    <xf numFmtId="0" fontId="83" fillId="49" borderId="47" xfId="0" applyFont="1" applyFill="1" applyBorder="1" applyAlignment="1">
      <alignment horizontal="center" vertical="center" wrapText="1"/>
    </xf>
    <xf numFmtId="0" fontId="83" fillId="0" borderId="10" xfId="0" applyFont="1" applyBorder="1" applyAlignment="1">
      <alignment horizontal="center" vertical="center" wrapText="1"/>
    </xf>
    <xf numFmtId="2" fontId="35" fillId="0" borderId="20" xfId="0" applyNumberFormat="1" applyFont="1" applyBorder="1" applyAlignment="1">
      <alignment horizontal="center" vertical="center" wrapText="1"/>
    </xf>
    <xf numFmtId="1" fontId="82" fillId="0" borderId="26" xfId="0" applyNumberFormat="1" applyFont="1" applyBorder="1" applyAlignment="1">
      <alignment horizontal="center" vertical="center" wrapText="1"/>
    </xf>
    <xf numFmtId="1" fontId="82" fillId="0" borderId="42" xfId="0" applyNumberFormat="1" applyFont="1" applyBorder="1" applyAlignment="1">
      <alignment horizontal="center" vertical="center" wrapText="1"/>
    </xf>
    <xf numFmtId="1" fontId="82" fillId="0" borderId="28" xfId="0" applyNumberFormat="1" applyFont="1" applyBorder="1" applyAlignment="1">
      <alignment horizontal="center" vertical="center" wrapText="1"/>
    </xf>
    <xf numFmtId="1" fontId="82" fillId="0" borderId="33" xfId="0" applyNumberFormat="1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1" fontId="82" fillId="0" borderId="35" xfId="0" applyNumberFormat="1" applyFont="1" applyBorder="1" applyAlignment="1">
      <alignment horizontal="center" vertical="center" wrapText="1"/>
    </xf>
    <xf numFmtId="0" fontId="0" fillId="0" borderId="33" xfId="0" applyBorder="1"/>
    <xf numFmtId="0" fontId="0" fillId="0" borderId="31" xfId="0" applyBorder="1"/>
    <xf numFmtId="1" fontId="82" fillId="0" borderId="41" xfId="0" applyNumberFormat="1" applyFont="1" applyBorder="1" applyAlignment="1">
      <alignment horizontal="center" vertical="center" wrapText="1"/>
    </xf>
    <xf numFmtId="1" fontId="82" fillId="0" borderId="30" xfId="0" applyNumberFormat="1" applyFont="1" applyBorder="1" applyAlignment="1">
      <alignment horizontal="center" vertical="center" wrapText="1"/>
    </xf>
    <xf numFmtId="1" fontId="82" fillId="0" borderId="31" xfId="0" applyNumberFormat="1" applyFont="1" applyBorder="1" applyAlignment="1">
      <alignment horizontal="center" vertical="center" wrapText="1"/>
    </xf>
    <xf numFmtId="0" fontId="35" fillId="49" borderId="42" xfId="0" applyFont="1" applyFill="1" applyBorder="1" applyAlignment="1">
      <alignment horizontal="center" vertical="center" wrapText="1"/>
    </xf>
    <xf numFmtId="0" fontId="35" fillId="49" borderId="30" xfId="0" applyFont="1" applyFill="1" applyBorder="1" applyAlignment="1">
      <alignment horizontal="center" vertical="center" wrapText="1"/>
    </xf>
    <xf numFmtId="0" fontId="82" fillId="49" borderId="28" xfId="0" applyFont="1" applyFill="1" applyBorder="1" applyAlignment="1">
      <alignment horizontal="center" vertical="center" wrapText="1"/>
    </xf>
    <xf numFmtId="0" fontId="0" fillId="49" borderId="33" xfId="0" applyFill="1" applyBorder="1"/>
    <xf numFmtId="0" fontId="0" fillId="49" borderId="34" xfId="0" applyFill="1" applyBorder="1"/>
    <xf numFmtId="0" fontId="82" fillId="49" borderId="35" xfId="0" applyFont="1" applyFill="1" applyBorder="1" applyAlignment="1">
      <alignment horizontal="center" vertical="center" wrapText="1"/>
    </xf>
    <xf numFmtId="0" fontId="0" fillId="49" borderId="31" xfId="0" applyFill="1" applyBorder="1"/>
    <xf numFmtId="0" fontId="83" fillId="49" borderId="36" xfId="0" applyFont="1" applyFill="1" applyBorder="1" applyAlignment="1">
      <alignment horizontal="center" vertical="center" wrapText="1"/>
    </xf>
    <xf numFmtId="0" fontId="83" fillId="49" borderId="37" xfId="0" applyFont="1" applyFill="1" applyBorder="1" applyAlignment="1">
      <alignment horizontal="center" vertical="center" wrapText="1"/>
    </xf>
    <xf numFmtId="0" fontId="83" fillId="49" borderId="38" xfId="0" applyFont="1" applyFill="1" applyBorder="1" applyAlignment="1">
      <alignment horizontal="center" vertical="center" wrapText="1"/>
    </xf>
    <xf numFmtId="1" fontId="82" fillId="0" borderId="34" xfId="0" applyNumberFormat="1" applyFont="1" applyBorder="1" applyAlignment="1">
      <alignment horizontal="center" vertical="center" wrapText="1"/>
    </xf>
    <xf numFmtId="0" fontId="82" fillId="49" borderId="27" xfId="0" applyFont="1" applyFill="1" applyBorder="1" applyAlignment="1">
      <alignment horizontal="center" vertical="center" wrapText="1"/>
    </xf>
    <xf numFmtId="0" fontId="82" fillId="49" borderId="39" xfId="0" applyFont="1" applyFill="1" applyBorder="1" applyAlignment="1">
      <alignment horizontal="center" vertical="center" wrapText="1"/>
    </xf>
    <xf numFmtId="0" fontId="82" fillId="49" borderId="40" xfId="0" applyFont="1" applyFill="1" applyBorder="1" applyAlignment="1">
      <alignment horizontal="center" vertical="center" wrapText="1"/>
    </xf>
    <xf numFmtId="0" fontId="82" fillId="49" borderId="32" xfId="0" applyFont="1" applyFill="1" applyBorder="1" applyAlignment="1">
      <alignment horizontal="center" vertical="center" wrapText="1"/>
    </xf>
    <xf numFmtId="2" fontId="35" fillId="0" borderId="10" xfId="0" applyNumberFormat="1" applyFont="1" applyBorder="1" applyAlignment="1">
      <alignment horizontal="center" vertical="center" wrapText="1"/>
    </xf>
    <xf numFmtId="0" fontId="35" fillId="49" borderId="10" xfId="0" applyFont="1" applyFill="1" applyBorder="1" applyAlignment="1">
      <alignment horizontal="center" vertical="center" wrapText="1"/>
    </xf>
    <xf numFmtId="2" fontId="36" fillId="0" borderId="11" xfId="0" applyNumberFormat="1" applyFont="1" applyBorder="1" applyAlignment="1">
      <alignment horizontal="center" vertical="center" wrapText="1"/>
    </xf>
    <xf numFmtId="2" fontId="36" fillId="0" borderId="13" xfId="0" applyNumberFormat="1" applyFont="1" applyBorder="1" applyAlignment="1">
      <alignment horizontal="center" vertical="center" wrapText="1"/>
    </xf>
    <xf numFmtId="0" fontId="84" fillId="49" borderId="17" xfId="0" applyFont="1" applyFill="1" applyBorder="1" applyAlignment="1">
      <alignment horizontal="center"/>
    </xf>
    <xf numFmtId="0" fontId="84" fillId="49" borderId="23" xfId="0" applyFont="1" applyFill="1" applyBorder="1" applyAlignment="1">
      <alignment horizontal="center"/>
    </xf>
    <xf numFmtId="0" fontId="84" fillId="49" borderId="18" xfId="0" applyFont="1" applyFill="1" applyBorder="1" applyAlignment="1">
      <alignment horizontal="center"/>
    </xf>
    <xf numFmtId="0" fontId="84" fillId="49" borderId="22" xfId="0" applyFont="1" applyFill="1" applyBorder="1" applyAlignment="1">
      <alignment horizontal="center"/>
    </xf>
    <xf numFmtId="0" fontId="84" fillId="49" borderId="19" xfId="0" applyFont="1" applyFill="1" applyBorder="1" applyAlignment="1">
      <alignment horizontal="center"/>
    </xf>
    <xf numFmtId="0" fontId="84" fillId="49" borderId="45" xfId="0" applyFont="1" applyFill="1" applyBorder="1" applyAlignment="1">
      <alignment horizontal="center"/>
    </xf>
    <xf numFmtId="0" fontId="83" fillId="0" borderId="14" xfId="0" applyFont="1" applyBorder="1" applyAlignment="1">
      <alignment horizontal="center" vertical="center" wrapText="1"/>
    </xf>
    <xf numFmtId="0" fontId="0" fillId="0" borderId="16" xfId="0" applyBorder="1"/>
    <xf numFmtId="0" fontId="36" fillId="0" borderId="10" xfId="0" applyFont="1" applyBorder="1" applyAlignment="1">
      <alignment horizontal="left" vertical="center" wrapText="1"/>
    </xf>
    <xf numFmtId="0" fontId="83" fillId="0" borderId="10" xfId="0" applyFont="1" applyFill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1" fontId="82" fillId="0" borderId="20" xfId="0" applyNumberFormat="1" applyFont="1" applyBorder="1" applyAlignment="1">
      <alignment horizontal="center" vertical="center" wrapText="1"/>
    </xf>
    <xf numFmtId="1" fontId="82" fillId="0" borderId="21" xfId="0" applyNumberFormat="1" applyFont="1" applyBorder="1" applyAlignment="1">
      <alignment horizontal="center" vertical="center" wrapText="1"/>
    </xf>
    <xf numFmtId="1" fontId="82" fillId="0" borderId="43" xfId="0" applyNumberFormat="1" applyFont="1" applyBorder="1" applyAlignment="1">
      <alignment horizontal="center" vertical="center" wrapText="1"/>
    </xf>
    <xf numFmtId="1" fontId="82" fillId="0" borderId="29" xfId="0" applyNumberFormat="1" applyFont="1" applyBorder="1" applyAlignment="1">
      <alignment horizontal="center" vertical="center" wrapText="1"/>
    </xf>
    <xf numFmtId="1" fontId="82" fillId="0" borderId="13" xfId="0" applyNumberFormat="1" applyFont="1" applyBorder="1" applyAlignment="1" applyProtection="1">
      <alignment horizontal="center" vertical="center" wrapText="1"/>
      <protection hidden="1"/>
    </xf>
    <xf numFmtId="1" fontId="82" fillId="0" borderId="14" xfId="0" applyNumberFormat="1" applyFont="1" applyBorder="1" applyAlignment="1" applyProtection="1">
      <alignment horizontal="center" vertical="center" wrapText="1"/>
      <protection hidden="1"/>
    </xf>
    <xf numFmtId="0" fontId="82" fillId="0" borderId="10" xfId="0" applyFont="1" applyBorder="1" applyAlignment="1">
      <alignment horizontal="left" vertical="center" wrapText="1"/>
    </xf>
    <xf numFmtId="1" fontId="83" fillId="0" borderId="14" xfId="0" applyNumberFormat="1" applyFont="1" applyFill="1" applyBorder="1" applyAlignment="1">
      <alignment horizontal="center" vertical="center"/>
    </xf>
    <xf numFmtId="1" fontId="83" fillId="0" borderId="24" xfId="0" applyNumberFormat="1" applyFont="1" applyFill="1" applyBorder="1" applyAlignment="1">
      <alignment horizontal="center" vertical="center"/>
    </xf>
    <xf numFmtId="1" fontId="83" fillId="0" borderId="16" xfId="0" applyNumberFormat="1" applyFont="1" applyFill="1" applyBorder="1" applyAlignment="1">
      <alignment horizontal="center" vertical="center"/>
    </xf>
    <xf numFmtId="0" fontId="83" fillId="49" borderId="48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59" xfId="0" applyBorder="1"/>
    <xf numFmtId="0" fontId="83" fillId="49" borderId="26" xfId="0" applyFont="1" applyFill="1" applyBorder="1" applyAlignment="1">
      <alignment horizontal="center" vertical="center" wrapText="1"/>
    </xf>
    <xf numFmtId="0" fontId="0" fillId="49" borderId="42" xfId="0" applyFill="1" applyBorder="1"/>
    <xf numFmtId="0" fontId="0" fillId="49" borderId="30" xfId="0" applyFill="1" applyBorder="1"/>
    <xf numFmtId="0" fontId="0" fillId="0" borderId="30" xfId="0" applyBorder="1"/>
    <xf numFmtId="0" fontId="36" fillId="49" borderId="33" xfId="0" applyFont="1" applyFill="1" applyBorder="1" applyAlignment="1">
      <alignment horizontal="center" vertical="center" wrapText="1"/>
    </xf>
    <xf numFmtId="0" fontId="36" fillId="49" borderId="34" xfId="0" applyFont="1" applyFill="1" applyBorder="1" applyAlignment="1">
      <alignment horizontal="center" vertical="center" wrapText="1"/>
    </xf>
    <xf numFmtId="0" fontId="36" fillId="49" borderId="35" xfId="0" applyFont="1" applyFill="1" applyBorder="1" applyAlignment="1">
      <alignment horizontal="center" vertical="center" wrapText="1"/>
    </xf>
    <xf numFmtId="0" fontId="36" fillId="49" borderId="31" xfId="0" applyFont="1" applyFill="1" applyBorder="1" applyAlignment="1">
      <alignment horizontal="center" vertical="center" wrapText="1"/>
    </xf>
    <xf numFmtId="0" fontId="0" fillId="0" borderId="34" xfId="0" applyBorder="1"/>
    <xf numFmtId="0" fontId="17" fillId="49" borderId="10" xfId="0" applyFont="1" applyFill="1" applyBorder="1" applyAlignment="1">
      <alignment horizontal="center"/>
    </xf>
    <xf numFmtId="0" fontId="82" fillId="0" borderId="17" xfId="0" applyFont="1" applyBorder="1" applyAlignment="1">
      <alignment horizontal="left" vertical="center" wrapText="1"/>
    </xf>
    <xf numFmtId="0" fontId="0" fillId="0" borderId="23" xfId="0" applyBorder="1"/>
    <xf numFmtId="0" fontId="0" fillId="0" borderId="18" xfId="0" applyBorder="1"/>
    <xf numFmtId="0" fontId="0" fillId="0" borderId="22" xfId="0" applyBorder="1"/>
    <xf numFmtId="0" fontId="0" fillId="0" borderId="19" xfId="0" applyBorder="1"/>
    <xf numFmtId="0" fontId="0" fillId="0" borderId="45" xfId="0" applyBorder="1"/>
    <xf numFmtId="0" fontId="83" fillId="0" borderId="14" xfId="0" applyFont="1" applyFill="1" applyBorder="1" applyAlignment="1">
      <alignment horizontal="center" vertical="center" wrapText="1"/>
    </xf>
    <xf numFmtId="165" fontId="36" fillId="0" borderId="11" xfId="0" applyNumberFormat="1" applyFont="1" applyBorder="1" applyAlignment="1" applyProtection="1">
      <alignment horizontal="center" vertical="center" wrapText="1"/>
      <protection hidden="1"/>
    </xf>
    <xf numFmtId="165" fontId="36" fillId="0" borderId="13" xfId="0" applyNumberFormat="1" applyFont="1" applyBorder="1" applyAlignment="1" applyProtection="1">
      <alignment horizontal="center" vertical="center" wrapText="1"/>
      <protection hidden="1"/>
    </xf>
    <xf numFmtId="0" fontId="44" fillId="0" borderId="21" xfId="95" applyFont="1" applyBorder="1" applyAlignment="1" applyProtection="1">
      <alignment horizontal="center" vertical="top"/>
      <protection hidden="1"/>
    </xf>
    <xf numFmtId="1" fontId="82" fillId="0" borderId="11" xfId="0" applyNumberFormat="1" applyFont="1" applyBorder="1" applyAlignment="1" applyProtection="1">
      <alignment horizontal="center" vertical="center" wrapText="1"/>
      <protection hidden="1"/>
    </xf>
    <xf numFmtId="1" fontId="82" fillId="0" borderId="10" xfId="0" applyNumberFormat="1" applyFont="1" applyBorder="1" applyAlignment="1" applyProtection="1">
      <alignment horizontal="center" vertical="center" wrapText="1"/>
      <protection hidden="1"/>
    </xf>
    <xf numFmtId="165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165" fontId="82" fillId="0" borderId="13" xfId="0" applyNumberFormat="1" applyFont="1" applyBorder="1" applyAlignment="1" applyProtection="1">
      <alignment horizontal="center" vertical="center" wrapText="1"/>
      <protection hidden="1"/>
    </xf>
    <xf numFmtId="165" fontId="82" fillId="0" borderId="11" xfId="0" applyNumberFormat="1" applyFont="1" applyBorder="1" applyAlignment="1" applyProtection="1">
      <alignment horizontal="center" vertical="center" wrapText="1"/>
      <protection hidden="1"/>
    </xf>
    <xf numFmtId="2" fontId="82" fillId="0" borderId="10" xfId="0" applyNumberFormat="1" applyFont="1" applyBorder="1" applyAlignment="1" applyProtection="1">
      <alignment horizontal="center" vertical="center" wrapText="1"/>
      <protection hidden="1"/>
    </xf>
    <xf numFmtId="0" fontId="35" fillId="0" borderId="20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1" fontId="82" fillId="0" borderId="20" xfId="0" applyNumberFormat="1" applyFont="1" applyBorder="1" applyAlignment="1" applyProtection="1">
      <alignment horizontal="center" vertical="center" wrapText="1"/>
      <protection hidden="1"/>
    </xf>
    <xf numFmtId="1" fontId="82" fillId="0" borderId="21" xfId="0" applyNumberFormat="1" applyFont="1" applyBorder="1" applyAlignment="1" applyProtection="1">
      <alignment horizontal="center" vertical="center" wrapText="1"/>
      <protection hidden="1"/>
    </xf>
    <xf numFmtId="1" fontId="82" fillId="0" borderId="29" xfId="0" applyNumberFormat="1" applyFont="1" applyBorder="1" applyAlignment="1" applyProtection="1">
      <alignment horizontal="center" vertical="center" wrapText="1"/>
      <protection hidden="1"/>
    </xf>
    <xf numFmtId="0" fontId="36" fillId="0" borderId="20" xfId="0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0" fontId="44" fillId="0" borderId="0" xfId="95" applyFont="1" applyBorder="1" applyAlignment="1" applyProtection="1">
      <alignment horizontal="center" vertical="top"/>
      <protection hidden="1"/>
    </xf>
    <xf numFmtId="2" fontId="36" fillId="0" borderId="14" xfId="0" applyNumberFormat="1" applyFont="1" applyBorder="1" applyAlignment="1">
      <alignment horizontal="center" vertical="center" wrapText="1"/>
    </xf>
    <xf numFmtId="2" fontId="36" fillId="0" borderId="16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2" fontId="35" fillId="0" borderId="14" xfId="0" applyNumberFormat="1" applyFont="1" applyFill="1" applyBorder="1" applyAlignment="1">
      <alignment horizontal="center" vertical="center" wrapText="1"/>
    </xf>
    <xf numFmtId="2" fontId="35" fillId="0" borderId="24" xfId="0" applyNumberFormat="1" applyFont="1" applyFill="1" applyBorder="1" applyAlignment="1">
      <alignment horizontal="center" vertical="center" wrapText="1"/>
    </xf>
    <xf numFmtId="2" fontId="35" fillId="0" borderId="16" xfId="0" applyNumberFormat="1" applyFont="1" applyFill="1" applyBorder="1" applyAlignment="1">
      <alignment horizontal="center" vertical="center" wrapText="1"/>
    </xf>
    <xf numFmtId="14" fontId="36" fillId="0" borderId="19" xfId="0" applyNumberFormat="1" applyFont="1" applyBorder="1" applyAlignment="1">
      <alignment horizontal="center" vertical="center"/>
    </xf>
    <xf numFmtId="0" fontId="53" fillId="49" borderId="20" xfId="0" applyFont="1" applyFill="1" applyBorder="1" applyAlignment="1">
      <alignment horizontal="center" vertical="center" wrapText="1"/>
    </xf>
    <xf numFmtId="0" fontId="53" fillId="49" borderId="29" xfId="0" applyFont="1" applyFill="1" applyBorder="1" applyAlignment="1">
      <alignment horizontal="center" vertical="center" wrapText="1"/>
    </xf>
    <xf numFmtId="0" fontId="56" fillId="49" borderId="10" xfId="96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5" fillId="0" borderId="44" xfId="0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0" fontId="35" fillId="0" borderId="45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1" fontId="36" fillId="0" borderId="14" xfId="0" applyNumberFormat="1" applyFont="1" applyBorder="1" applyAlignment="1" applyProtection="1">
      <alignment horizontal="center" vertical="center" wrapText="1"/>
      <protection hidden="1"/>
    </xf>
    <xf numFmtId="1" fontId="36" fillId="0" borderId="24" xfId="0" applyNumberFormat="1" applyFont="1" applyBorder="1" applyAlignment="1" applyProtection="1">
      <alignment horizontal="center" vertical="center" wrapText="1"/>
      <protection hidden="1"/>
    </xf>
    <xf numFmtId="1" fontId="36" fillId="0" borderId="16" xfId="0" applyNumberFormat="1" applyFont="1" applyBorder="1" applyAlignment="1" applyProtection="1">
      <alignment horizontal="center" vertical="center" wrapText="1"/>
      <protection hidden="1"/>
    </xf>
    <xf numFmtId="0" fontId="36" fillId="0" borderId="20" xfId="0" applyNumberFormat="1" applyFont="1" applyBorder="1" applyAlignment="1" applyProtection="1">
      <alignment horizontal="center" vertical="center" wrapText="1"/>
      <protection hidden="1"/>
    </xf>
    <xf numFmtId="0" fontId="36" fillId="0" borderId="29" xfId="0" applyNumberFormat="1" applyFont="1" applyBorder="1" applyAlignment="1" applyProtection="1">
      <alignment horizontal="center" vertical="center" wrapText="1"/>
      <protection hidden="1"/>
    </xf>
    <xf numFmtId="0" fontId="36" fillId="0" borderId="24" xfId="0" applyFont="1" applyBorder="1" applyAlignment="1">
      <alignment horizontal="center" vertical="center" wrapText="1"/>
    </xf>
    <xf numFmtId="0" fontId="92" fillId="0" borderId="17" xfId="87" applyFont="1" applyBorder="1" applyAlignment="1">
      <alignment horizontal="left" vertical="center" wrapText="1"/>
    </xf>
    <xf numFmtId="0" fontId="92" fillId="0" borderId="23" xfId="87" applyFont="1" applyBorder="1" applyAlignment="1">
      <alignment horizontal="left" vertical="center" wrapText="1"/>
    </xf>
    <xf numFmtId="0" fontId="92" fillId="0" borderId="18" xfId="87" applyFont="1" applyBorder="1" applyAlignment="1">
      <alignment horizontal="left" vertical="center" wrapText="1"/>
    </xf>
    <xf numFmtId="0" fontId="92" fillId="0" borderId="22" xfId="87" applyFont="1" applyBorder="1" applyAlignment="1">
      <alignment horizontal="left" vertical="center" wrapText="1"/>
    </xf>
    <xf numFmtId="0" fontId="92" fillId="0" borderId="19" xfId="87" applyFont="1" applyBorder="1" applyAlignment="1">
      <alignment horizontal="left" vertical="center" wrapText="1"/>
    </xf>
    <xf numFmtId="0" fontId="92" fillId="0" borderId="45" xfId="87" applyFont="1" applyBorder="1" applyAlignment="1">
      <alignment horizontal="left" vertical="center" wrapText="1"/>
    </xf>
    <xf numFmtId="0" fontId="90" fillId="49" borderId="20" xfId="87" applyFont="1" applyFill="1" applyBorder="1" applyAlignment="1" applyProtection="1">
      <alignment horizontal="center" vertical="center" wrapText="1"/>
      <protection hidden="1"/>
    </xf>
    <xf numFmtId="0" fontId="90" fillId="49" borderId="29" xfId="87" applyFont="1" applyFill="1" applyBorder="1" applyAlignment="1" applyProtection="1">
      <alignment horizontal="center" vertical="center" wrapText="1"/>
      <protection hidden="1"/>
    </xf>
    <xf numFmtId="0" fontId="90" fillId="0" borderId="17" xfId="86" applyFont="1" applyBorder="1" applyAlignment="1" applyProtection="1">
      <alignment horizontal="center" vertical="center" wrapText="1"/>
      <protection hidden="1"/>
    </xf>
    <xf numFmtId="0" fontId="90" fillId="0" borderId="22" xfId="86" applyFont="1" applyBorder="1" applyAlignment="1" applyProtection="1">
      <alignment horizontal="center" vertical="center" wrapText="1"/>
      <protection hidden="1"/>
    </xf>
    <xf numFmtId="3" fontId="88" fillId="0" borderId="20" xfId="87" applyNumberFormat="1" applyFont="1" applyFill="1" applyBorder="1" applyAlignment="1" applyProtection="1">
      <alignment horizontal="center" vertical="center"/>
      <protection hidden="1"/>
    </xf>
    <xf numFmtId="3" fontId="88" fillId="0" borderId="21" xfId="87" applyNumberFormat="1" applyFont="1" applyFill="1" applyBorder="1" applyAlignment="1" applyProtection="1">
      <alignment horizontal="center" vertical="center"/>
      <protection hidden="1"/>
    </xf>
    <xf numFmtId="3" fontId="88" fillId="0" borderId="29" xfId="87" applyNumberFormat="1" applyFont="1" applyFill="1" applyBorder="1" applyAlignment="1" applyProtection="1">
      <alignment horizontal="center" vertical="center"/>
      <protection hidden="1"/>
    </xf>
    <xf numFmtId="0" fontId="90" fillId="49" borderId="21" xfId="87" applyFont="1" applyFill="1" applyBorder="1" applyAlignment="1" applyProtection="1">
      <alignment horizontal="center" vertical="center" wrapText="1"/>
      <protection hidden="1"/>
    </xf>
    <xf numFmtId="3" fontId="88" fillId="0" borderId="10" xfId="87" applyNumberFormat="1" applyFont="1" applyFill="1" applyBorder="1" applyAlignment="1" applyProtection="1">
      <alignment horizontal="center" vertical="center"/>
      <protection hidden="1"/>
    </xf>
    <xf numFmtId="3" fontId="88" fillId="0" borderId="10" xfId="87" applyNumberFormat="1" applyFont="1" applyBorder="1" applyAlignment="1" applyProtection="1">
      <alignment horizontal="center" vertical="center"/>
      <protection hidden="1"/>
    </xf>
    <xf numFmtId="0" fontId="32" fillId="0" borderId="10" xfId="0" applyFont="1" applyBorder="1" applyAlignment="1">
      <alignment horizontal="center" vertical="center" wrapText="1"/>
    </xf>
    <xf numFmtId="0" fontId="105" fillId="0" borderId="14" xfId="87" applyFont="1" applyBorder="1" applyAlignment="1">
      <alignment horizontal="center" vertical="center" wrapText="1"/>
    </xf>
    <xf numFmtId="0" fontId="105" fillId="0" borderId="16" xfId="87" applyFont="1" applyBorder="1" applyAlignment="1">
      <alignment horizontal="center" vertical="center" wrapText="1"/>
    </xf>
    <xf numFmtId="0" fontId="90" fillId="0" borderId="14" xfId="86" applyFont="1" applyBorder="1" applyAlignment="1" applyProtection="1">
      <alignment horizontal="center" vertical="center" wrapText="1"/>
      <protection hidden="1"/>
    </xf>
    <xf numFmtId="0" fontId="90" fillId="0" borderId="24" xfId="86" applyFont="1" applyBorder="1" applyAlignment="1" applyProtection="1">
      <alignment horizontal="center" vertical="center" wrapText="1"/>
      <protection hidden="1"/>
    </xf>
    <xf numFmtId="0" fontId="90" fillId="0" borderId="16" xfId="86" applyFont="1" applyBorder="1" applyAlignment="1" applyProtection="1">
      <alignment horizontal="center" vertical="center" wrapText="1"/>
      <protection hidden="1"/>
    </xf>
    <xf numFmtId="0" fontId="89" fillId="0" borderId="14" xfId="87" applyFont="1" applyBorder="1" applyAlignment="1" applyProtection="1">
      <alignment horizontal="center" vertical="center" wrapText="1"/>
      <protection hidden="1"/>
    </xf>
    <xf numFmtId="0" fontId="89" fillId="0" borderId="24" xfId="87" applyFont="1" applyBorder="1" applyAlignment="1" applyProtection="1">
      <alignment horizontal="center" vertical="center" wrapText="1"/>
      <protection hidden="1"/>
    </xf>
    <xf numFmtId="0" fontId="89" fillId="0" borderId="16" xfId="87" applyFont="1" applyBorder="1" applyAlignment="1" applyProtection="1">
      <alignment horizontal="center" vertical="center" wrapText="1"/>
      <protection hidden="1"/>
    </xf>
    <xf numFmtId="0" fontId="32" fillId="0" borderId="20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165" fontId="89" fillId="0" borderId="14" xfId="87" applyNumberFormat="1" applyFont="1" applyBorder="1" applyAlignment="1" applyProtection="1">
      <alignment horizontal="center" vertical="center"/>
      <protection hidden="1"/>
    </xf>
    <xf numFmtId="165" fontId="89" fillId="0" borderId="24" xfId="87" applyNumberFormat="1" applyFont="1" applyBorder="1" applyAlignment="1" applyProtection="1">
      <alignment horizontal="center" vertical="center"/>
      <protection hidden="1"/>
    </xf>
    <xf numFmtId="165" fontId="89" fillId="0" borderId="16" xfId="87" applyNumberFormat="1" applyFont="1" applyBorder="1" applyAlignment="1" applyProtection="1">
      <alignment horizontal="center" vertical="center"/>
      <protection hidden="1"/>
    </xf>
    <xf numFmtId="0" fontId="32" fillId="24" borderId="20" xfId="0" applyFont="1" applyFill="1" applyBorder="1" applyAlignment="1" applyProtection="1">
      <alignment horizontal="center" vertical="center" wrapText="1"/>
      <protection hidden="1"/>
    </xf>
    <xf numFmtId="0" fontId="32" fillId="24" borderId="29" xfId="0" applyFont="1" applyFill="1" applyBorder="1" applyAlignment="1" applyProtection="1">
      <alignment horizontal="center" vertical="center" wrapText="1"/>
      <protection hidden="1"/>
    </xf>
    <xf numFmtId="0" fontId="90" fillId="0" borderId="20" xfId="87" applyFont="1" applyBorder="1" applyAlignment="1" applyProtection="1">
      <alignment horizontal="center" vertical="center" wrapText="1"/>
      <protection hidden="1"/>
    </xf>
    <xf numFmtId="0" fontId="90" fillId="0" borderId="21" xfId="87" applyFont="1" applyBorder="1" applyAlignment="1" applyProtection="1">
      <alignment horizontal="center" vertical="center" wrapText="1"/>
      <protection hidden="1"/>
    </xf>
    <xf numFmtId="0" fontId="90" fillId="0" borderId="29" xfId="87" applyFont="1" applyBorder="1" applyAlignment="1" applyProtection="1">
      <alignment horizontal="center" vertical="center" wrapText="1"/>
      <protection hidden="1"/>
    </xf>
    <xf numFmtId="165" fontId="89" fillId="0" borderId="10" xfId="87" applyNumberFormat="1" applyFont="1" applyFill="1" applyBorder="1" applyAlignment="1" applyProtection="1">
      <alignment horizontal="center" vertical="center"/>
      <protection hidden="1"/>
    </xf>
    <xf numFmtId="3" fontId="89" fillId="0" borderId="20" xfId="87" applyNumberFormat="1" applyFont="1" applyBorder="1" applyAlignment="1" applyProtection="1">
      <alignment horizontal="center" vertical="center" wrapText="1"/>
      <protection hidden="1"/>
    </xf>
    <xf numFmtId="3" fontId="89" fillId="0" borderId="29" xfId="87" applyNumberFormat="1" applyFont="1" applyBorder="1" applyAlignment="1" applyProtection="1">
      <alignment horizontal="center" vertical="center" wrapText="1"/>
      <protection hidden="1"/>
    </xf>
    <xf numFmtId="0" fontId="90" fillId="0" borderId="20" xfId="87" applyFont="1" applyFill="1" applyBorder="1" applyAlignment="1" applyProtection="1">
      <alignment horizontal="center" vertical="center" wrapText="1"/>
      <protection hidden="1"/>
    </xf>
    <xf numFmtId="0" fontId="90" fillId="0" borderId="21" xfId="87" applyFont="1" applyFill="1" applyBorder="1" applyAlignment="1" applyProtection="1">
      <alignment horizontal="center" vertical="center" wrapText="1"/>
      <protection hidden="1"/>
    </xf>
    <xf numFmtId="0" fontId="90" fillId="0" borderId="29" xfId="87" applyFont="1" applyFill="1" applyBorder="1" applyAlignment="1" applyProtection="1">
      <alignment horizontal="center" vertical="center" wrapText="1"/>
      <protection hidden="1"/>
    </xf>
    <xf numFmtId="165" fontId="89" fillId="0" borderId="10" xfId="87" applyNumberFormat="1" applyFont="1" applyBorder="1" applyAlignment="1" applyProtection="1">
      <alignment horizontal="center" vertical="center"/>
      <protection hidden="1"/>
    </xf>
    <xf numFmtId="3" fontId="89" fillId="0" borderId="20" xfId="87" applyNumberFormat="1" applyFont="1" applyBorder="1" applyAlignment="1" applyProtection="1">
      <alignment horizontal="center" vertical="center"/>
      <protection hidden="1"/>
    </xf>
    <xf numFmtId="3" fontId="89" fillId="0" borderId="21" xfId="87" applyNumberFormat="1" applyFont="1" applyBorder="1" applyAlignment="1" applyProtection="1">
      <alignment horizontal="center" vertical="center"/>
      <protection hidden="1"/>
    </xf>
    <xf numFmtId="3" fontId="89" fillId="0" borderId="29" xfId="87" applyNumberFormat="1" applyFont="1" applyBorder="1" applyAlignment="1" applyProtection="1">
      <alignment horizontal="center" vertical="center"/>
      <protection hidden="1"/>
    </xf>
    <xf numFmtId="165" fontId="89" fillId="0" borderId="20" xfId="87" applyNumberFormat="1" applyFont="1" applyBorder="1" applyAlignment="1" applyProtection="1">
      <alignment horizontal="center" vertical="center"/>
      <protection hidden="1"/>
    </xf>
    <xf numFmtId="165" fontId="89" fillId="0" borderId="29" xfId="87" applyNumberFormat="1" applyFont="1" applyBorder="1" applyAlignment="1" applyProtection="1">
      <alignment horizontal="center" vertical="center"/>
      <protection hidden="1"/>
    </xf>
    <xf numFmtId="0" fontId="90" fillId="0" borderId="20" xfId="86" applyFont="1" applyBorder="1" applyAlignment="1" applyProtection="1">
      <alignment horizontal="center" vertical="center" wrapText="1"/>
      <protection hidden="1"/>
    </xf>
    <xf numFmtId="0" fontId="90" fillId="0" borderId="21" xfId="86" applyFont="1" applyBorder="1" applyAlignment="1" applyProtection="1">
      <alignment horizontal="center" vertical="center" wrapText="1"/>
      <protection hidden="1"/>
    </xf>
    <xf numFmtId="0" fontId="90" fillId="0" borderId="29" xfId="86" applyFont="1" applyBorder="1" applyAlignment="1" applyProtection="1">
      <alignment horizontal="center" vertical="center" wrapText="1"/>
      <protection hidden="1"/>
    </xf>
    <xf numFmtId="0" fontId="89" fillId="0" borderId="28" xfId="87" applyNumberFormat="1" applyFont="1" applyBorder="1" applyAlignment="1" applyProtection="1">
      <alignment horizontal="center" vertical="center" wrapText="1"/>
      <protection hidden="1"/>
    </xf>
    <xf numFmtId="0" fontId="89" fillId="0" borderId="31" xfId="87" applyNumberFormat="1" applyFont="1" applyBorder="1" applyAlignment="1" applyProtection="1">
      <alignment horizontal="center" vertical="center" wrapText="1"/>
      <protection hidden="1"/>
    </xf>
    <xf numFmtId="0" fontId="90" fillId="0" borderId="23" xfId="86" applyFont="1" applyBorder="1" applyAlignment="1" applyProtection="1">
      <alignment horizontal="center" vertical="center" wrapText="1"/>
      <protection hidden="1"/>
    </xf>
    <xf numFmtId="0" fontId="90" fillId="0" borderId="18" xfId="86" applyFont="1" applyBorder="1" applyAlignment="1" applyProtection="1">
      <alignment horizontal="center" vertical="center" wrapText="1"/>
      <protection hidden="1"/>
    </xf>
    <xf numFmtId="0" fontId="90" fillId="0" borderId="25" xfId="86" applyFont="1" applyBorder="1" applyAlignment="1" applyProtection="1">
      <alignment horizontal="center" vertical="center" wrapText="1"/>
      <protection hidden="1"/>
    </xf>
    <xf numFmtId="0" fontId="90" fillId="0" borderId="0" xfId="86" applyFont="1" applyBorder="1" applyAlignment="1" applyProtection="1">
      <alignment horizontal="center" vertical="center" wrapText="1"/>
      <protection hidden="1"/>
    </xf>
    <xf numFmtId="0" fontId="90" fillId="0" borderId="44" xfId="86" applyFont="1" applyBorder="1" applyAlignment="1" applyProtection="1">
      <alignment horizontal="center" vertical="center" wrapText="1"/>
      <protection hidden="1"/>
    </xf>
    <xf numFmtId="0" fontId="90" fillId="0" borderId="19" xfId="86" applyFont="1" applyBorder="1" applyAlignment="1" applyProtection="1">
      <alignment horizontal="center" vertical="center" wrapText="1"/>
      <protection hidden="1"/>
    </xf>
    <xf numFmtId="0" fontId="90" fillId="0" borderId="45" xfId="86" applyFont="1" applyBorder="1" applyAlignment="1" applyProtection="1">
      <alignment horizontal="center" vertical="center" wrapText="1"/>
      <protection hidden="1"/>
    </xf>
    <xf numFmtId="0" fontId="32" fillId="0" borderId="20" xfId="0" applyFont="1" applyBorder="1" applyAlignment="1">
      <alignment horizontal="left" vertical="center" wrapText="1"/>
    </xf>
    <xf numFmtId="0" fontId="32" fillId="0" borderId="21" xfId="0" applyFont="1" applyBorder="1" applyAlignment="1">
      <alignment horizontal="left" vertical="center" wrapText="1"/>
    </xf>
    <xf numFmtId="0" fontId="32" fillId="0" borderId="29" xfId="0" applyFont="1" applyBorder="1" applyAlignment="1">
      <alignment horizontal="left" vertical="center" wrapText="1"/>
    </xf>
    <xf numFmtId="2" fontId="89" fillId="0" borderId="20" xfId="87" applyNumberFormat="1" applyFont="1" applyBorder="1" applyAlignment="1" applyProtection="1">
      <alignment horizontal="center" vertical="center"/>
      <protection hidden="1"/>
    </xf>
    <xf numFmtId="2" fontId="89" fillId="0" borderId="21" xfId="87" applyNumberFormat="1" applyFont="1" applyBorder="1" applyAlignment="1" applyProtection="1">
      <alignment horizontal="center" vertical="center"/>
      <protection hidden="1"/>
    </xf>
    <xf numFmtId="2" fontId="89" fillId="0" borderId="29" xfId="87" applyNumberFormat="1" applyFont="1" applyBorder="1" applyAlignment="1" applyProtection="1">
      <alignment horizontal="center" vertical="center"/>
      <protection hidden="1"/>
    </xf>
    <xf numFmtId="0" fontId="90" fillId="49" borderId="17" xfId="87" applyFont="1" applyFill="1" applyBorder="1" applyAlignment="1" applyProtection="1">
      <alignment horizontal="center" vertical="center" wrapText="1"/>
      <protection hidden="1"/>
    </xf>
    <xf numFmtId="0" fontId="90" fillId="49" borderId="23" xfId="87" applyFont="1" applyFill="1" applyBorder="1" applyAlignment="1" applyProtection="1">
      <alignment horizontal="center" vertical="center" wrapText="1"/>
      <protection hidden="1"/>
    </xf>
    <xf numFmtId="0" fontId="90" fillId="49" borderId="18" xfId="87" applyFont="1" applyFill="1" applyBorder="1" applyAlignment="1" applyProtection="1">
      <alignment horizontal="center" vertical="center" wrapText="1"/>
      <protection hidden="1"/>
    </xf>
    <xf numFmtId="0" fontId="89" fillId="0" borderId="20" xfId="87" applyNumberFormat="1" applyFont="1" applyFill="1" applyBorder="1" applyAlignment="1" applyProtection="1">
      <alignment horizontal="center" vertical="center" wrapText="1"/>
      <protection hidden="1"/>
    </xf>
    <xf numFmtId="0" fontId="89" fillId="0" borderId="29" xfId="87" applyNumberFormat="1" applyFont="1" applyFill="1" applyBorder="1" applyAlignment="1" applyProtection="1">
      <alignment horizontal="center" vertical="center" wrapText="1"/>
      <protection hidden="1"/>
    </xf>
    <xf numFmtId="0" fontId="89" fillId="0" borderId="20" xfId="87" applyFont="1" applyFill="1" applyBorder="1" applyAlignment="1" applyProtection="1">
      <alignment horizontal="center" vertical="center" wrapText="1"/>
      <protection hidden="1"/>
    </xf>
    <xf numFmtId="0" fontId="89" fillId="0" borderId="29" xfId="87" applyFont="1" applyFill="1" applyBorder="1" applyAlignment="1" applyProtection="1">
      <alignment horizontal="center" vertical="center" wrapText="1"/>
      <protection hidden="1"/>
    </xf>
    <xf numFmtId="0" fontId="92" fillId="0" borderId="10" xfId="87" applyFont="1" applyBorder="1" applyAlignment="1">
      <alignment horizontal="center" vertical="center"/>
    </xf>
    <xf numFmtId="0" fontId="90" fillId="49" borderId="20" xfId="86" applyFont="1" applyFill="1" applyBorder="1" applyAlignment="1" applyProtection="1">
      <alignment horizontal="center" vertical="center" wrapText="1"/>
      <protection hidden="1"/>
    </xf>
    <xf numFmtId="0" fontId="90" fillId="49" borderId="29" xfId="86" applyFont="1" applyFill="1" applyBorder="1" applyAlignment="1" applyProtection="1">
      <alignment horizontal="center" vertical="center" wrapText="1"/>
      <protection hidden="1"/>
    </xf>
    <xf numFmtId="0" fontId="90" fillId="49" borderId="10" xfId="87" applyFont="1" applyFill="1" applyBorder="1" applyAlignment="1" applyProtection="1">
      <alignment horizontal="center" vertical="center" wrapText="1"/>
      <protection hidden="1"/>
    </xf>
    <xf numFmtId="0" fontId="89" fillId="0" borderId="14" xfId="96" applyFont="1" applyFill="1" applyBorder="1" applyAlignment="1">
      <alignment horizontal="center" vertical="center"/>
    </xf>
    <xf numFmtId="0" fontId="89" fillId="0" borderId="16" xfId="96" applyFont="1" applyFill="1" applyBorder="1" applyAlignment="1">
      <alignment horizontal="center" vertical="center"/>
    </xf>
    <xf numFmtId="0" fontId="89" fillId="0" borderId="10" xfId="87" applyFont="1" applyBorder="1" applyAlignment="1" applyProtection="1">
      <alignment horizontal="center" vertical="center" wrapText="1"/>
      <protection hidden="1"/>
    </xf>
    <xf numFmtId="0" fontId="90" fillId="49" borderId="14" xfId="87" applyFont="1" applyFill="1" applyBorder="1" applyAlignment="1" applyProtection="1">
      <alignment horizontal="center" vertical="center" wrapText="1"/>
      <protection hidden="1"/>
    </xf>
    <xf numFmtId="0" fontId="90" fillId="49" borderId="24" xfId="87" applyFont="1" applyFill="1" applyBorder="1" applyAlignment="1" applyProtection="1">
      <alignment horizontal="center" vertical="center" wrapText="1"/>
      <protection hidden="1"/>
    </xf>
    <xf numFmtId="0" fontId="90" fillId="49" borderId="16" xfId="87" applyFont="1" applyFill="1" applyBorder="1" applyAlignment="1" applyProtection="1">
      <alignment horizontal="center" vertical="center" wrapText="1"/>
      <protection hidden="1"/>
    </xf>
    <xf numFmtId="0" fontId="89" fillId="0" borderId="20" xfId="86" applyFont="1" applyBorder="1" applyAlignment="1" applyProtection="1">
      <alignment horizontal="center" vertical="center" wrapText="1"/>
      <protection hidden="1"/>
    </xf>
    <xf numFmtId="0" fontId="89" fillId="0" borderId="29" xfId="86" applyFont="1" applyBorder="1" applyAlignment="1" applyProtection="1">
      <alignment horizontal="center" vertical="center" wrapText="1"/>
      <protection hidden="1"/>
    </xf>
    <xf numFmtId="0" fontId="89" fillId="0" borderId="20" xfId="87" applyNumberFormat="1" applyFont="1" applyBorder="1" applyAlignment="1" applyProtection="1">
      <alignment horizontal="center" vertical="center" wrapText="1"/>
      <protection hidden="1"/>
    </xf>
    <xf numFmtId="0" fontId="89" fillId="0" borderId="29" xfId="87" applyNumberFormat="1" applyFont="1" applyBorder="1" applyAlignment="1" applyProtection="1">
      <alignment horizontal="center" vertical="center" wrapText="1"/>
      <protection hidden="1"/>
    </xf>
    <xf numFmtId="0" fontId="46" fillId="0" borderId="28" xfId="87" applyNumberFormat="1" applyFont="1" applyBorder="1" applyAlignment="1" applyProtection="1">
      <alignment horizontal="center" vertical="center" wrapText="1"/>
      <protection hidden="1"/>
    </xf>
    <xf numFmtId="0" fontId="46" fillId="0" borderId="31" xfId="87" applyNumberFormat="1" applyFont="1" applyBorder="1" applyAlignment="1" applyProtection="1">
      <alignment horizontal="center" vertical="center" wrapText="1"/>
      <protection hidden="1"/>
    </xf>
    <xf numFmtId="0" fontId="90" fillId="0" borderId="10" xfId="86" applyFont="1" applyBorder="1" applyAlignment="1" applyProtection="1">
      <alignment horizontal="center" vertical="center" wrapText="1"/>
      <protection hidden="1"/>
    </xf>
    <xf numFmtId="0" fontId="89" fillId="0" borderId="26" xfId="87" applyNumberFormat="1" applyFont="1" applyBorder="1" applyAlignment="1" applyProtection="1">
      <alignment horizontal="center" vertical="center" wrapText="1"/>
      <protection hidden="1"/>
    </xf>
    <xf numFmtId="0" fontId="89" fillId="0" borderId="30" xfId="87" applyNumberFormat="1" applyFont="1" applyBorder="1" applyAlignment="1" applyProtection="1">
      <alignment horizontal="center" vertical="center" wrapText="1"/>
      <protection hidden="1"/>
    </xf>
    <xf numFmtId="0" fontId="7" fillId="0" borderId="0" xfId="87" applyBorder="1" applyAlignment="1">
      <alignment horizontal="center"/>
    </xf>
    <xf numFmtId="0" fontId="7" fillId="0" borderId="73" xfId="87" applyBorder="1" applyAlignment="1">
      <alignment horizontal="center"/>
    </xf>
    <xf numFmtId="3" fontId="90" fillId="49" borderId="10" xfId="87" applyNumberFormat="1" applyFont="1" applyFill="1" applyBorder="1" applyAlignment="1" applyProtection="1">
      <alignment horizontal="center" vertical="center" wrapText="1"/>
      <protection hidden="1"/>
    </xf>
    <xf numFmtId="0" fontId="54" fillId="0" borderId="0" xfId="95" applyFont="1" applyBorder="1" applyAlignment="1" applyProtection="1">
      <alignment horizontal="center" vertical="top"/>
      <protection hidden="1"/>
    </xf>
    <xf numFmtId="3" fontId="90" fillId="49" borderId="17" xfId="87" applyNumberFormat="1" applyFont="1" applyFill="1" applyBorder="1" applyAlignment="1" applyProtection="1">
      <alignment horizontal="center" vertical="center" wrapText="1"/>
      <protection hidden="1"/>
    </xf>
    <xf numFmtId="3" fontId="90" fillId="49" borderId="18" xfId="87" applyNumberFormat="1" applyFont="1" applyFill="1" applyBorder="1" applyAlignment="1" applyProtection="1">
      <alignment horizontal="center" vertical="center" wrapText="1"/>
      <protection hidden="1"/>
    </xf>
    <xf numFmtId="3" fontId="90" fillId="49" borderId="22" xfId="87" applyNumberFormat="1" applyFont="1" applyFill="1" applyBorder="1" applyAlignment="1" applyProtection="1">
      <alignment horizontal="center" vertical="center" wrapText="1"/>
      <protection hidden="1"/>
    </xf>
    <xf numFmtId="3" fontId="90" fillId="49" borderId="45" xfId="87" applyNumberFormat="1" applyFont="1" applyFill="1" applyBorder="1" applyAlignment="1" applyProtection="1">
      <alignment horizontal="center" vertical="center" wrapText="1"/>
      <protection hidden="1"/>
    </xf>
    <xf numFmtId="3" fontId="90" fillId="49" borderId="10" xfId="0" applyNumberFormat="1" applyFont="1" applyFill="1" applyBorder="1" applyAlignment="1" applyProtection="1">
      <alignment horizontal="center" vertical="center" wrapText="1"/>
      <protection hidden="1"/>
    </xf>
    <xf numFmtId="0" fontId="90" fillId="49" borderId="10" xfId="86" applyFont="1" applyFill="1" applyBorder="1" applyAlignment="1">
      <alignment horizontal="center" vertical="center" wrapText="1"/>
    </xf>
    <xf numFmtId="168" fontId="88" fillId="0" borderId="27" xfId="87" applyNumberFormat="1" applyFont="1" applyBorder="1" applyAlignment="1" applyProtection="1">
      <alignment horizontal="center" vertical="center" wrapText="1"/>
      <protection hidden="1"/>
    </xf>
    <xf numFmtId="168" fontId="88" fillId="0" borderId="32" xfId="87" applyNumberFormat="1" applyFont="1" applyBorder="1" applyAlignment="1" applyProtection="1">
      <alignment horizontal="center" vertical="center" wrapText="1"/>
      <protection hidden="1"/>
    </xf>
    <xf numFmtId="168" fontId="88" fillId="0" borderId="28" xfId="87" applyNumberFormat="1" applyFont="1" applyBorder="1" applyAlignment="1" applyProtection="1">
      <alignment horizontal="center" vertical="center" wrapText="1"/>
      <protection hidden="1"/>
    </xf>
    <xf numFmtId="168" fontId="88" fillId="0" borderId="31" xfId="87" applyNumberFormat="1" applyFont="1" applyBorder="1" applyAlignment="1" applyProtection="1">
      <alignment horizontal="center" vertical="center" wrapText="1"/>
      <protection hidden="1"/>
    </xf>
    <xf numFmtId="0" fontId="90" fillId="49" borderId="22" xfId="87" applyFont="1" applyFill="1" applyBorder="1" applyAlignment="1" applyProtection="1">
      <alignment horizontal="center" vertical="center" wrapText="1"/>
      <protection hidden="1"/>
    </xf>
    <xf numFmtId="0" fontId="90" fillId="49" borderId="19" xfId="87" applyFont="1" applyFill="1" applyBorder="1" applyAlignment="1" applyProtection="1">
      <alignment horizontal="center" vertical="center" wrapText="1"/>
      <protection hidden="1"/>
    </xf>
    <xf numFmtId="0" fontId="90" fillId="49" borderId="45" xfId="87" applyFont="1" applyFill="1" applyBorder="1" applyAlignment="1" applyProtection="1">
      <alignment horizontal="center" vertical="center" wrapText="1"/>
      <protection hidden="1"/>
    </xf>
    <xf numFmtId="0" fontId="90" fillId="0" borderId="17" xfId="87" applyFont="1" applyBorder="1" applyAlignment="1" applyProtection="1">
      <alignment horizontal="center" vertical="center" wrapText="1"/>
      <protection hidden="1"/>
    </xf>
    <xf numFmtId="0" fontId="90" fillId="0" borderId="23" xfId="87" applyFont="1" applyBorder="1" applyAlignment="1" applyProtection="1">
      <alignment horizontal="center" vertical="center" wrapText="1"/>
      <protection hidden="1"/>
    </xf>
    <xf numFmtId="0" fontId="90" fillId="0" borderId="18" xfId="87" applyFont="1" applyBorder="1" applyAlignment="1" applyProtection="1">
      <alignment horizontal="center" vertical="center" wrapText="1"/>
      <protection hidden="1"/>
    </xf>
    <xf numFmtId="0" fontId="90" fillId="0" borderId="25" xfId="87" applyFont="1" applyBorder="1" applyAlignment="1" applyProtection="1">
      <alignment horizontal="center" vertical="center" wrapText="1"/>
      <protection hidden="1"/>
    </xf>
    <xf numFmtId="0" fontId="90" fillId="0" borderId="0" xfId="87" applyFont="1" applyBorder="1" applyAlignment="1" applyProtection="1">
      <alignment horizontal="center" vertical="center" wrapText="1"/>
      <protection hidden="1"/>
    </xf>
    <xf numFmtId="0" fontId="90" fillId="0" borderId="44" xfId="87" applyFont="1" applyBorder="1" applyAlignment="1" applyProtection="1">
      <alignment horizontal="center" vertical="center" wrapText="1"/>
      <protection hidden="1"/>
    </xf>
    <xf numFmtId="0" fontId="90" fillId="0" borderId="22" xfId="87" applyFont="1" applyBorder="1" applyAlignment="1" applyProtection="1">
      <alignment horizontal="center" vertical="center" wrapText="1"/>
      <protection hidden="1"/>
    </xf>
    <xf numFmtId="0" fontId="90" fillId="0" borderId="19" xfId="87" applyFont="1" applyBorder="1" applyAlignment="1" applyProtection="1">
      <alignment horizontal="center" vertical="center" wrapText="1"/>
      <protection hidden="1"/>
    </xf>
    <xf numFmtId="0" fontId="90" fillId="0" borderId="45" xfId="87" applyFont="1" applyBorder="1" applyAlignment="1" applyProtection="1">
      <alignment horizontal="center" vertical="center" wrapText="1"/>
      <protection hidden="1"/>
    </xf>
    <xf numFmtId="0" fontId="89" fillId="0" borderId="10" xfId="87" applyFont="1" applyBorder="1" applyAlignment="1" applyProtection="1">
      <alignment horizontal="center" vertical="center"/>
      <protection hidden="1"/>
    </xf>
    <xf numFmtId="168" fontId="88" fillId="0" borderId="26" xfId="87" applyNumberFormat="1" applyFont="1" applyBorder="1" applyAlignment="1" applyProtection="1">
      <alignment horizontal="center" vertical="center" wrapText="1"/>
      <protection hidden="1"/>
    </xf>
    <xf numFmtId="168" fontId="88" fillId="0" borderId="30" xfId="87" applyNumberFormat="1" applyFont="1" applyBorder="1" applyAlignment="1" applyProtection="1">
      <alignment horizontal="center" vertical="center" wrapText="1"/>
      <protection hidden="1"/>
    </xf>
    <xf numFmtId="0" fontId="32" fillId="0" borderId="0" xfId="87" applyFont="1" applyBorder="1" applyAlignment="1" applyProtection="1">
      <alignment horizontal="left" vertical="top"/>
      <protection hidden="1"/>
    </xf>
    <xf numFmtId="0" fontId="40" fillId="49" borderId="20" xfId="87" applyFont="1" applyFill="1" applyBorder="1" applyAlignment="1">
      <alignment horizontal="center" vertical="center" wrapText="1"/>
    </xf>
    <xf numFmtId="0" fontId="40" fillId="49" borderId="21" xfId="87" applyFont="1" applyFill="1" applyBorder="1" applyAlignment="1">
      <alignment horizontal="center" vertical="center" wrapText="1"/>
    </xf>
    <xf numFmtId="0" fontId="40" fillId="49" borderId="29" xfId="87" applyFont="1" applyFill="1" applyBorder="1" applyAlignment="1">
      <alignment horizontal="center" vertical="center" wrapText="1"/>
    </xf>
    <xf numFmtId="9" fontId="59" fillId="0" borderId="20" xfId="100" applyFont="1" applyBorder="1" applyAlignment="1">
      <alignment horizontal="center" vertical="center"/>
    </xf>
    <xf numFmtId="9" fontId="59" fillId="0" borderId="21" xfId="100" applyFont="1" applyBorder="1" applyAlignment="1">
      <alignment horizontal="center" vertical="center"/>
    </xf>
    <xf numFmtId="9" fontId="59" fillId="0" borderId="29" xfId="100" applyFont="1" applyBorder="1" applyAlignment="1">
      <alignment horizontal="center" vertical="center"/>
    </xf>
    <xf numFmtId="0" fontId="89" fillId="0" borderId="10" xfId="86" applyFont="1" applyBorder="1" applyAlignment="1" applyProtection="1">
      <alignment horizontal="center" vertical="center" wrapText="1"/>
      <protection hidden="1"/>
    </xf>
    <xf numFmtId="0" fontId="89" fillId="0" borderId="17" xfId="87" applyFont="1" applyBorder="1" applyAlignment="1" applyProtection="1">
      <alignment horizontal="center" vertical="center" wrapText="1"/>
      <protection hidden="1"/>
    </xf>
    <xf numFmtId="0" fontId="89" fillId="0" borderId="18" xfId="87" applyFont="1" applyBorder="1" applyAlignment="1" applyProtection="1">
      <alignment horizontal="center" vertical="center" wrapText="1"/>
      <protection hidden="1"/>
    </xf>
    <xf numFmtId="0" fontId="40" fillId="49" borderId="10" xfId="87" applyFont="1" applyFill="1" applyBorder="1" applyAlignment="1">
      <alignment horizontal="center" vertical="center"/>
    </xf>
    <xf numFmtId="9" fontId="59" fillId="0" borderId="10" xfId="100" applyFont="1" applyBorder="1" applyAlignment="1">
      <alignment horizontal="center" vertical="center"/>
    </xf>
    <xf numFmtId="0" fontId="35" fillId="49" borderId="20" xfId="0" applyFont="1" applyFill="1" applyBorder="1" applyAlignment="1">
      <alignment horizontal="center" vertical="center" wrapText="1"/>
    </xf>
    <xf numFmtId="0" fontId="35" fillId="49" borderId="29" xfId="0" applyFont="1" applyFill="1" applyBorder="1" applyAlignment="1">
      <alignment horizontal="center" vertical="center" wrapText="1"/>
    </xf>
    <xf numFmtId="0" fontId="92" fillId="0" borderId="20" xfId="87" applyFont="1" applyBorder="1" applyAlignment="1">
      <alignment horizontal="center" vertical="center"/>
    </xf>
    <xf numFmtId="0" fontId="92" fillId="0" borderId="21" xfId="87" applyFont="1" applyBorder="1" applyAlignment="1">
      <alignment horizontal="center" vertical="center"/>
    </xf>
    <xf numFmtId="0" fontId="92" fillId="0" borderId="29" xfId="87" applyFont="1" applyBorder="1" applyAlignment="1">
      <alignment horizontal="center" vertical="center"/>
    </xf>
    <xf numFmtId="0" fontId="90" fillId="0" borderId="75" xfId="87" applyFont="1" applyBorder="1" applyAlignment="1" applyProtection="1">
      <alignment horizontal="center" vertical="center" wrapText="1"/>
      <protection hidden="1"/>
    </xf>
    <xf numFmtId="0" fontId="89" fillId="0" borderId="23" xfId="87" applyFont="1" applyBorder="1" applyAlignment="1" applyProtection="1">
      <alignment horizontal="center" vertical="center" wrapText="1"/>
      <protection hidden="1"/>
    </xf>
    <xf numFmtId="0" fontId="89" fillId="0" borderId="0" xfId="87" applyFont="1" applyBorder="1" applyAlignment="1" applyProtection="1">
      <alignment horizontal="center" vertical="center" wrapText="1"/>
      <protection hidden="1"/>
    </xf>
    <xf numFmtId="0" fontId="89" fillId="0" borderId="19" xfId="87" applyFont="1" applyBorder="1" applyAlignment="1" applyProtection="1">
      <alignment horizontal="center" vertical="center" wrapText="1"/>
      <protection hidden="1"/>
    </xf>
    <xf numFmtId="0" fontId="46" fillId="0" borderId="20" xfId="86" applyFont="1" applyBorder="1" applyAlignment="1" applyProtection="1">
      <alignment horizontal="center" vertical="center" wrapText="1"/>
      <protection hidden="1"/>
    </xf>
    <xf numFmtId="0" fontId="46" fillId="0" borderId="29" xfId="86" applyFont="1" applyBorder="1" applyAlignment="1" applyProtection="1">
      <alignment horizontal="center" vertical="center" wrapText="1"/>
      <protection hidden="1"/>
    </xf>
    <xf numFmtId="0" fontId="88" fillId="0" borderId="10" xfId="87" applyFont="1" applyBorder="1" applyAlignment="1" applyProtection="1">
      <alignment horizontal="center" vertical="center"/>
      <protection hidden="1"/>
    </xf>
    <xf numFmtId="3" fontId="88" fillId="0" borderId="20" xfId="87" applyNumberFormat="1" applyFont="1" applyBorder="1" applyAlignment="1" applyProtection="1">
      <alignment horizontal="center" vertical="center"/>
      <protection hidden="1"/>
    </xf>
    <xf numFmtId="3" fontId="88" fillId="0" borderId="21" xfId="87" applyNumberFormat="1" applyFont="1" applyBorder="1" applyAlignment="1" applyProtection="1">
      <alignment horizontal="center" vertical="center"/>
      <protection hidden="1"/>
    </xf>
    <xf numFmtId="3" fontId="88" fillId="0" borderId="29" xfId="87" applyNumberFormat="1" applyFont="1" applyBorder="1" applyAlignment="1" applyProtection="1">
      <alignment horizontal="center" vertical="center"/>
      <protection hidden="1"/>
    </xf>
    <xf numFmtId="2" fontId="36" fillId="0" borderId="24" xfId="0" applyNumberFormat="1" applyFont="1" applyBorder="1" applyAlignment="1">
      <alignment horizontal="center" vertical="center" wrapText="1"/>
    </xf>
    <xf numFmtId="0" fontId="112" fillId="0" borderId="10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44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45" xfId="0" applyFont="1" applyBorder="1" applyAlignment="1">
      <alignment horizontal="center" vertical="center" wrapText="1"/>
    </xf>
    <xf numFmtId="0" fontId="90" fillId="49" borderId="14" xfId="86" applyFont="1" applyFill="1" applyBorder="1" applyAlignment="1" applyProtection="1">
      <alignment horizontal="center" vertical="center" wrapText="1"/>
      <protection hidden="1"/>
    </xf>
    <xf numFmtId="0" fontId="90" fillId="49" borderId="16" xfId="86" applyFont="1" applyFill="1" applyBorder="1" applyAlignment="1" applyProtection="1">
      <alignment horizontal="center" vertical="center" wrapText="1"/>
      <protection hidden="1"/>
    </xf>
    <xf numFmtId="2" fontId="36" fillId="0" borderId="20" xfId="0" applyNumberFormat="1" applyFont="1" applyFill="1" applyBorder="1" applyAlignment="1" applyProtection="1">
      <alignment horizontal="center" vertical="center"/>
      <protection hidden="1"/>
    </xf>
    <xf numFmtId="2" fontId="36" fillId="0" borderId="29" xfId="0" applyNumberFormat="1" applyFont="1" applyFill="1" applyBorder="1" applyAlignment="1" applyProtection="1">
      <alignment horizontal="center" vertical="center"/>
      <protection hidden="1"/>
    </xf>
    <xf numFmtId="0" fontId="36" fillId="0" borderId="14" xfId="87" applyFont="1" applyBorder="1" applyAlignment="1" applyProtection="1">
      <alignment horizontal="center" vertical="center" wrapText="1"/>
      <protection hidden="1"/>
    </xf>
    <xf numFmtId="0" fontId="36" fillId="0" borderId="24" xfId="87" applyFont="1" applyBorder="1" applyAlignment="1" applyProtection="1">
      <alignment horizontal="center" vertical="center" wrapText="1"/>
      <protection hidden="1"/>
    </xf>
    <xf numFmtId="0" fontId="36" fillId="0" borderId="16" xfId="87" applyFont="1" applyBorder="1" applyAlignment="1" applyProtection="1">
      <alignment horizontal="center" vertical="center" wrapText="1"/>
      <protection hidden="1"/>
    </xf>
    <xf numFmtId="0" fontId="89" fillId="0" borderId="17" xfId="86" applyFont="1" applyBorder="1" applyAlignment="1" applyProtection="1">
      <alignment horizontal="center" vertical="center" wrapText="1"/>
      <protection hidden="1"/>
    </xf>
    <xf numFmtId="0" fontId="89" fillId="0" borderId="18" xfId="86" applyFont="1" applyBorder="1" applyAlignment="1" applyProtection="1">
      <alignment horizontal="center" vertical="center" wrapText="1"/>
      <protection hidden="1"/>
    </xf>
    <xf numFmtId="0" fontId="89" fillId="0" borderId="22" xfId="86" applyFont="1" applyBorder="1" applyAlignment="1" applyProtection="1">
      <alignment horizontal="center" vertical="center" wrapText="1"/>
      <protection hidden="1"/>
    </xf>
    <xf numFmtId="0" fontId="89" fillId="0" borderId="45" xfId="86" applyFont="1" applyBorder="1" applyAlignment="1" applyProtection="1">
      <alignment horizontal="center" vertical="center" wrapText="1"/>
      <protection hidden="1"/>
    </xf>
    <xf numFmtId="0" fontId="90" fillId="49" borderId="20" xfId="87" applyNumberFormat="1" applyFont="1" applyFill="1" applyBorder="1" applyAlignment="1" applyProtection="1">
      <alignment horizontal="center" vertical="center" wrapText="1"/>
      <protection hidden="1"/>
    </xf>
    <xf numFmtId="0" fontId="90" fillId="49" borderId="29" xfId="87" applyNumberFormat="1" applyFont="1" applyFill="1" applyBorder="1" applyAlignment="1" applyProtection="1">
      <alignment horizontal="center" vertical="center" wrapText="1"/>
      <protection hidden="1"/>
    </xf>
    <xf numFmtId="0" fontId="89" fillId="0" borderId="21" xfId="87" applyFont="1" applyFill="1" applyBorder="1" applyAlignment="1" applyProtection="1">
      <alignment horizontal="center" vertical="center" wrapText="1"/>
      <protection hidden="1"/>
    </xf>
    <xf numFmtId="3" fontId="89" fillId="0" borderId="21" xfId="87" applyNumberFormat="1" applyFont="1" applyFill="1" applyBorder="1" applyAlignment="1" applyProtection="1">
      <alignment horizontal="center" vertical="center" wrapText="1"/>
      <protection hidden="1"/>
    </xf>
    <xf numFmtId="3" fontId="89" fillId="0" borderId="29" xfId="87" applyNumberFormat="1" applyFont="1" applyFill="1" applyBorder="1" applyAlignment="1" applyProtection="1">
      <alignment horizontal="center" vertical="center" wrapText="1"/>
      <protection hidden="1"/>
    </xf>
    <xf numFmtId="3" fontId="89" fillId="0" borderId="10" xfId="87" applyNumberFormat="1" applyFont="1" applyFill="1" applyBorder="1" applyAlignment="1" applyProtection="1">
      <alignment horizontal="center" vertical="center" wrapText="1"/>
      <protection hidden="1"/>
    </xf>
    <xf numFmtId="0" fontId="31" fillId="0" borderId="24" xfId="87" applyFont="1" applyBorder="1" applyAlignment="1" applyProtection="1">
      <alignment horizontal="center" vertical="center"/>
      <protection hidden="1"/>
    </xf>
    <xf numFmtId="165" fontId="89" fillId="0" borderId="26" xfId="87" applyNumberFormat="1" applyFont="1" applyBorder="1" applyAlignment="1" applyProtection="1">
      <alignment horizontal="center" vertical="center"/>
      <protection hidden="1"/>
    </xf>
    <xf numFmtId="165" fontId="89" fillId="0" borderId="30" xfId="87" applyNumberFormat="1" applyFont="1" applyBorder="1" applyAlignment="1" applyProtection="1">
      <alignment horizontal="center" vertical="center"/>
      <protection hidden="1"/>
    </xf>
    <xf numFmtId="0" fontId="46" fillId="0" borderId="26" xfId="87" applyNumberFormat="1" applyFont="1" applyBorder="1" applyAlignment="1" applyProtection="1">
      <alignment horizontal="center" vertical="center" wrapText="1"/>
      <protection hidden="1"/>
    </xf>
    <xf numFmtId="0" fontId="46" fillId="0" borderId="30" xfId="87" applyNumberFormat="1" applyFont="1" applyBorder="1" applyAlignment="1" applyProtection="1">
      <alignment horizontal="center" vertical="center" wrapText="1"/>
      <protection hidden="1"/>
    </xf>
    <xf numFmtId="0" fontId="89" fillId="0" borderId="10" xfId="87" applyFont="1" applyFill="1" applyBorder="1" applyAlignment="1" applyProtection="1">
      <alignment horizontal="center" vertical="center" wrapText="1"/>
      <protection hidden="1"/>
    </xf>
    <xf numFmtId="0" fontId="90" fillId="0" borderId="10" xfId="87" applyFont="1" applyFill="1" applyBorder="1" applyAlignment="1" applyProtection="1">
      <alignment horizontal="center" vertical="center" wrapText="1"/>
      <protection hidden="1"/>
    </xf>
    <xf numFmtId="0" fontId="90" fillId="49" borderId="25" xfId="87" applyFont="1" applyFill="1" applyBorder="1" applyAlignment="1" applyProtection="1">
      <alignment horizontal="center" vertical="center" wrapText="1"/>
      <protection hidden="1"/>
    </xf>
    <xf numFmtId="0" fontId="90" fillId="49" borderId="0" xfId="87" applyFont="1" applyFill="1" applyBorder="1" applyAlignment="1" applyProtection="1">
      <alignment horizontal="center" vertical="center" wrapText="1"/>
      <protection hidden="1"/>
    </xf>
    <xf numFmtId="0" fontId="90" fillId="49" borderId="44" xfId="87" applyFont="1" applyFill="1" applyBorder="1" applyAlignment="1" applyProtection="1">
      <alignment horizontal="center" vertical="center" wrapText="1"/>
      <protection hidden="1"/>
    </xf>
    <xf numFmtId="0" fontId="90" fillId="49" borderId="24" xfId="86" applyFont="1" applyFill="1" applyBorder="1" applyAlignment="1" applyProtection="1">
      <alignment horizontal="center" vertical="center" wrapText="1"/>
      <protection hidden="1"/>
    </xf>
    <xf numFmtId="0" fontId="94" fillId="0" borderId="74" xfId="0" applyFont="1" applyBorder="1" applyAlignment="1">
      <alignment horizontal="center"/>
    </xf>
    <xf numFmtId="14" fontId="59" fillId="0" borderId="19" xfId="0" applyNumberFormat="1" applyFont="1" applyBorder="1" applyAlignment="1">
      <alignment horizontal="left"/>
    </xf>
    <xf numFmtId="0" fontId="36" fillId="0" borderId="0" xfId="0" applyFont="1" applyBorder="1" applyAlignment="1">
      <alignment horizontal="center"/>
    </xf>
    <xf numFmtId="0" fontId="36" fillId="0" borderId="73" xfId="0" applyFont="1" applyBorder="1" applyAlignment="1">
      <alignment horizontal="center"/>
    </xf>
    <xf numFmtId="0" fontId="61" fillId="0" borderId="10" xfId="0" applyFont="1" applyFill="1" applyBorder="1" applyAlignment="1">
      <alignment horizontal="center" vertical="center"/>
    </xf>
    <xf numFmtId="0" fontId="59" fillId="0" borderId="10" xfId="0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61" fillId="49" borderId="14" xfId="0" applyFont="1" applyFill="1" applyBorder="1" applyAlignment="1">
      <alignment horizontal="center"/>
    </xf>
    <xf numFmtId="0" fontId="61" fillId="49" borderId="16" xfId="0" applyFont="1" applyFill="1" applyBorder="1" applyAlignment="1">
      <alignment horizontal="center"/>
    </xf>
    <xf numFmtId="0" fontId="61" fillId="49" borderId="10" xfId="0" applyFont="1" applyFill="1" applyBorder="1" applyAlignment="1">
      <alignment horizontal="center" vertical="center" wrapText="1"/>
    </xf>
    <xf numFmtId="0" fontId="61" fillId="49" borderId="10" xfId="0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/>
    </xf>
    <xf numFmtId="0" fontId="59" fillId="0" borderId="10" xfId="0" applyFont="1" applyBorder="1" applyAlignment="1">
      <alignment horizontal="center" vertical="center"/>
    </xf>
    <xf numFmtId="0" fontId="61" fillId="49" borderId="20" xfId="0" applyFont="1" applyFill="1" applyBorder="1" applyAlignment="1">
      <alignment horizontal="left" vertical="center"/>
    </xf>
    <xf numFmtId="0" fontId="61" fillId="49" borderId="21" xfId="0" applyFont="1" applyFill="1" applyBorder="1" applyAlignment="1">
      <alignment horizontal="left" vertical="center"/>
    </xf>
    <xf numFmtId="0" fontId="61" fillId="49" borderId="29" xfId="0" applyFont="1" applyFill="1" applyBorder="1" applyAlignment="1">
      <alignment horizontal="left" vertical="center"/>
    </xf>
    <xf numFmtId="0" fontId="59" fillId="0" borderId="10" xfId="0" applyFont="1" applyBorder="1" applyAlignment="1">
      <alignment horizontal="left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59" fillId="0" borderId="24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Border="1" applyAlignment="1">
      <alignment horizontal="center" vertical="center"/>
    </xf>
    <xf numFmtId="0" fontId="59" fillId="0" borderId="16" xfId="0" applyFont="1" applyBorder="1" applyAlignment="1">
      <alignment horizontal="center" vertical="center"/>
    </xf>
    <xf numFmtId="0" fontId="61" fillId="49" borderId="14" xfId="0" applyFont="1" applyFill="1" applyBorder="1" applyAlignment="1">
      <alignment horizontal="center" vertical="center" wrapText="1"/>
    </xf>
    <xf numFmtId="0" fontId="61" fillId="49" borderId="16" xfId="0" applyFont="1" applyFill="1" applyBorder="1" applyAlignment="1">
      <alignment horizontal="center" vertical="center" wrapText="1"/>
    </xf>
    <xf numFmtId="0" fontId="61" fillId="49" borderId="14" xfId="0" applyFont="1" applyFill="1" applyBorder="1" applyAlignment="1">
      <alignment horizontal="center" vertical="center"/>
    </xf>
    <xf numFmtId="0" fontId="61" fillId="49" borderId="16" xfId="0" applyFont="1" applyFill="1" applyBorder="1" applyAlignment="1">
      <alignment horizontal="center" vertical="center"/>
    </xf>
    <xf numFmtId="4" fontId="59" fillId="0" borderId="51" xfId="92" applyNumberFormat="1" applyFont="1" applyFill="1" applyBorder="1" applyAlignment="1">
      <alignment horizontal="center" vertical="center" wrapText="1"/>
    </xf>
    <xf numFmtId="4" fontId="59" fillId="0" borderId="53" xfId="92" applyNumberFormat="1" applyFont="1" applyFill="1" applyBorder="1" applyAlignment="1">
      <alignment horizontal="center" vertical="center" wrapText="1"/>
    </xf>
    <xf numFmtId="0" fontId="61" fillId="49" borderId="50" xfId="0" applyFont="1" applyFill="1" applyBorder="1" applyAlignment="1">
      <alignment horizontal="left" vertical="center"/>
    </xf>
    <xf numFmtId="0" fontId="70" fillId="49" borderId="20" xfId="0" applyFont="1" applyFill="1" applyBorder="1" applyAlignment="1">
      <alignment horizontal="center" wrapText="1"/>
    </xf>
    <xf numFmtId="0" fontId="70" fillId="49" borderId="21" xfId="0" applyFont="1" applyFill="1" applyBorder="1" applyAlignment="1">
      <alignment horizontal="center" wrapText="1"/>
    </xf>
    <xf numFmtId="0" fontId="70" fillId="49" borderId="29" xfId="0" applyFont="1" applyFill="1" applyBorder="1" applyAlignment="1">
      <alignment horizontal="center" wrapText="1"/>
    </xf>
    <xf numFmtId="0" fontId="79" fillId="0" borderId="20" xfId="0" applyFont="1" applyBorder="1" applyAlignment="1">
      <alignment horizontal="left" vertical="center" wrapText="1"/>
    </xf>
    <xf numFmtId="0" fontId="79" fillId="0" borderId="21" xfId="0" applyFont="1" applyBorder="1" applyAlignment="1">
      <alignment horizontal="left" vertical="center" wrapText="1"/>
    </xf>
    <xf numFmtId="3" fontId="79" fillId="0" borderId="20" xfId="0" applyNumberFormat="1" applyFont="1" applyFill="1" applyBorder="1" applyAlignment="1">
      <alignment horizontal="center" vertical="center"/>
    </xf>
    <xf numFmtId="3" fontId="79" fillId="0" borderId="21" xfId="0" applyNumberFormat="1" applyFont="1" applyFill="1" applyBorder="1" applyAlignment="1">
      <alignment horizontal="center" vertical="center"/>
    </xf>
    <xf numFmtId="3" fontId="79" fillId="0" borderId="29" xfId="0" applyNumberFormat="1" applyFont="1" applyFill="1" applyBorder="1" applyAlignment="1">
      <alignment horizontal="center" vertical="center"/>
    </xf>
    <xf numFmtId="0" fontId="80" fillId="49" borderId="56" xfId="0" applyFont="1" applyFill="1" applyBorder="1" applyAlignment="1">
      <alignment horizontal="left" vertical="center"/>
    </xf>
    <xf numFmtId="0" fontId="80" fillId="49" borderId="19" xfId="0" applyFont="1" applyFill="1" applyBorder="1" applyAlignment="1">
      <alignment horizontal="left" vertical="center"/>
    </xf>
    <xf numFmtId="0" fontId="80" fillId="49" borderId="45" xfId="0" applyFont="1" applyFill="1" applyBorder="1" applyAlignment="1">
      <alignment horizontal="left" vertical="center"/>
    </xf>
    <xf numFmtId="0" fontId="79" fillId="0" borderId="54" xfId="0" applyFont="1" applyBorder="1" applyAlignment="1">
      <alignment horizontal="left" vertical="center" wrapText="1"/>
    </xf>
    <xf numFmtId="0" fontId="79" fillId="0" borderId="23" xfId="0" applyFont="1" applyBorder="1" applyAlignment="1">
      <alignment horizontal="left" vertical="center" wrapText="1"/>
    </xf>
    <xf numFmtId="3" fontId="79" fillId="0" borderId="17" xfId="0" applyNumberFormat="1" applyFont="1" applyBorder="1" applyAlignment="1">
      <alignment horizontal="center" vertical="center"/>
    </xf>
    <xf numFmtId="3" fontId="79" fillId="0" borderId="23" xfId="0" applyNumberFormat="1" applyFont="1" applyBorder="1" applyAlignment="1">
      <alignment horizontal="center" vertical="center"/>
    </xf>
    <xf numFmtId="3" fontId="79" fillId="0" borderId="18" xfId="0" applyNumberFormat="1" applyFont="1" applyBorder="1" applyAlignment="1">
      <alignment horizontal="center" vertical="center"/>
    </xf>
    <xf numFmtId="3" fontId="79" fillId="0" borderId="20" xfId="0" applyNumberFormat="1" applyFont="1" applyBorder="1" applyAlignment="1">
      <alignment horizontal="center" vertical="center"/>
    </xf>
    <xf numFmtId="3" fontId="79" fillId="0" borderId="21" xfId="0" applyNumberFormat="1" applyFont="1" applyBorder="1" applyAlignment="1">
      <alignment horizontal="center" vertical="center"/>
    </xf>
    <xf numFmtId="3" fontId="79" fillId="0" borderId="29" xfId="0" applyNumberFormat="1" applyFont="1" applyBorder="1" applyAlignment="1">
      <alignment horizontal="center" vertical="center"/>
    </xf>
    <xf numFmtId="0" fontId="61" fillId="49" borderId="50" xfId="0" applyFont="1" applyFill="1" applyBorder="1" applyAlignment="1">
      <alignment horizontal="left" vertical="center" wrapText="1"/>
    </xf>
    <xf numFmtId="0" fontId="61" fillId="49" borderId="21" xfId="0" applyFont="1" applyFill="1" applyBorder="1" applyAlignment="1">
      <alignment horizontal="left" vertical="center" wrapText="1"/>
    </xf>
    <xf numFmtId="0" fontId="61" fillId="49" borderId="29" xfId="0" applyFont="1" applyFill="1" applyBorder="1" applyAlignment="1">
      <alignment horizontal="left" vertical="center" wrapText="1"/>
    </xf>
    <xf numFmtId="0" fontId="59" fillId="0" borderId="55" xfId="0" applyFont="1" applyFill="1" applyBorder="1" applyAlignment="1">
      <alignment horizontal="left"/>
    </xf>
    <xf numFmtId="0" fontId="59" fillId="0" borderId="10" xfId="0" applyFont="1" applyFill="1" applyBorder="1" applyAlignment="1">
      <alignment horizontal="left"/>
    </xf>
    <xf numFmtId="3" fontId="59" fillId="0" borderId="20" xfId="0" applyNumberFormat="1" applyFont="1" applyFill="1" applyBorder="1" applyAlignment="1">
      <alignment horizontal="center"/>
    </xf>
    <xf numFmtId="3" fontId="59" fillId="0" borderId="21" xfId="0" applyNumberFormat="1" applyFont="1" applyFill="1" applyBorder="1" applyAlignment="1">
      <alignment horizontal="center"/>
    </xf>
    <xf numFmtId="3" fontId="59" fillId="0" borderId="29" xfId="0" applyNumberFormat="1" applyFont="1" applyFill="1" applyBorder="1" applyAlignment="1">
      <alignment horizontal="center"/>
    </xf>
    <xf numFmtId="0" fontId="79" fillId="0" borderId="25" xfId="92" applyNumberFormat="1" applyFont="1" applyFill="1" applyBorder="1" applyAlignment="1">
      <alignment horizontal="center" vertical="center" wrapText="1"/>
    </xf>
    <xf numFmtId="0" fontId="79" fillId="0" borderId="0" xfId="92" applyNumberFormat="1" applyFont="1" applyFill="1" applyBorder="1" applyAlignment="1">
      <alignment horizontal="center" vertical="center" wrapText="1"/>
    </xf>
    <xf numFmtId="0" fontId="79" fillId="0" borderId="44" xfId="92" applyNumberFormat="1" applyFont="1" applyFill="1" applyBorder="1" applyAlignment="1">
      <alignment horizontal="center" vertical="center" wrapText="1"/>
    </xf>
    <xf numFmtId="0" fontId="79" fillId="0" borderId="22" xfId="92" applyNumberFormat="1" applyFont="1" applyFill="1" applyBorder="1" applyAlignment="1">
      <alignment horizontal="center" vertical="center" wrapText="1"/>
    </xf>
    <xf numFmtId="0" fontId="79" fillId="0" borderId="19" xfId="92" applyNumberFormat="1" applyFont="1" applyFill="1" applyBorder="1" applyAlignment="1">
      <alignment horizontal="center" vertical="center" wrapText="1"/>
    </xf>
    <xf numFmtId="0" fontId="79" fillId="0" borderId="45" xfId="92" applyNumberFormat="1" applyFont="1" applyFill="1" applyBorder="1" applyAlignment="1">
      <alignment horizontal="center" vertical="center" wrapText="1"/>
    </xf>
    <xf numFmtId="4" fontId="59" fillId="0" borderId="27" xfId="92" applyNumberFormat="1" applyFont="1" applyFill="1" applyBorder="1" applyAlignment="1">
      <alignment horizontal="center" vertical="center" wrapText="1"/>
    </xf>
    <xf numFmtId="4" fontId="59" fillId="0" borderId="49" xfId="92" applyNumberFormat="1" applyFont="1" applyFill="1" applyBorder="1" applyAlignment="1">
      <alignment horizontal="center" vertical="center" wrapText="1"/>
    </xf>
    <xf numFmtId="4" fontId="59" fillId="0" borderId="32" xfId="92" applyNumberFormat="1" applyFont="1" applyFill="1" applyBorder="1" applyAlignment="1">
      <alignment horizontal="center" vertical="center" wrapText="1"/>
    </xf>
    <xf numFmtId="4" fontId="59" fillId="0" borderId="28" xfId="92" applyNumberFormat="1" applyFont="1" applyFill="1" applyBorder="1" applyAlignment="1">
      <alignment horizontal="center" vertical="center" wrapText="1"/>
    </xf>
    <xf numFmtId="4" fontId="59" fillId="0" borderId="33" xfId="92" applyNumberFormat="1" applyFont="1" applyFill="1" applyBorder="1" applyAlignment="1">
      <alignment horizontal="center" vertical="center" wrapText="1"/>
    </xf>
    <xf numFmtId="4" fontId="59" fillId="0" borderId="31" xfId="92" applyNumberFormat="1" applyFont="1" applyFill="1" applyBorder="1" applyAlignment="1">
      <alignment horizontal="center" vertical="center" wrapText="1"/>
    </xf>
    <xf numFmtId="0" fontId="73" fillId="0" borderId="25" xfId="92" applyFont="1" applyBorder="1" applyAlignment="1">
      <alignment horizontal="center" vertical="center" wrapText="1"/>
    </xf>
    <xf numFmtId="0" fontId="73" fillId="0" borderId="44" xfId="92" applyFont="1" applyBorder="1" applyAlignment="1">
      <alignment horizontal="center" vertical="center" wrapText="1"/>
    </xf>
    <xf numFmtId="0" fontId="73" fillId="0" borderId="22" xfId="92" applyFont="1" applyBorder="1" applyAlignment="1">
      <alignment horizontal="center" vertical="center" wrapText="1"/>
    </xf>
    <xf numFmtId="0" fontId="73" fillId="0" borderId="45" xfId="92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2" fontId="53" fillId="0" borderId="25" xfId="57" applyNumberFormat="1" applyFont="1" applyFill="1" applyBorder="1" applyAlignment="1">
      <alignment horizontal="center" vertical="center" wrapText="1"/>
    </xf>
    <xf numFmtId="2" fontId="53" fillId="0" borderId="0" xfId="57" applyNumberFormat="1" applyFont="1" applyFill="1" applyBorder="1" applyAlignment="1">
      <alignment horizontal="center" vertical="center" wrapText="1"/>
    </xf>
    <xf numFmtId="2" fontId="53" fillId="0" borderId="44" xfId="57" applyNumberFormat="1" applyFont="1" applyFill="1" applyBorder="1" applyAlignment="1">
      <alignment horizontal="center" vertical="center" wrapText="1"/>
    </xf>
    <xf numFmtId="2" fontId="53" fillId="0" borderId="22" xfId="57" applyNumberFormat="1" applyFont="1" applyFill="1" applyBorder="1" applyAlignment="1">
      <alignment horizontal="center" vertical="center" wrapText="1"/>
    </xf>
    <xf numFmtId="2" fontId="53" fillId="0" borderId="19" xfId="57" applyNumberFormat="1" applyFont="1" applyFill="1" applyBorder="1" applyAlignment="1">
      <alignment horizontal="center" vertical="center" wrapText="1"/>
    </xf>
    <xf numFmtId="2" fontId="53" fillId="0" borderId="45" xfId="57" applyNumberFormat="1" applyFont="1" applyFill="1" applyBorder="1" applyAlignment="1">
      <alignment horizontal="center" vertical="center" wrapText="1"/>
    </xf>
    <xf numFmtId="4" fontId="59" fillId="0" borderId="52" xfId="92" applyNumberFormat="1" applyFont="1" applyFill="1" applyBorder="1" applyAlignment="1">
      <alignment horizontal="center" vertical="center" wrapText="1"/>
    </xf>
    <xf numFmtId="0" fontId="61" fillId="49" borderId="10" xfId="0" applyFont="1" applyFill="1" applyBorder="1" applyAlignment="1">
      <alignment horizontal="center"/>
    </xf>
    <xf numFmtId="0" fontId="59" fillId="0" borderId="57" xfId="0" applyFont="1" applyFill="1" applyBorder="1" applyAlignment="1">
      <alignment horizontal="left"/>
    </xf>
    <xf numFmtId="0" fontId="59" fillId="0" borderId="0" xfId="0" applyFont="1" applyFill="1" applyBorder="1" applyAlignment="1">
      <alignment horizontal="left"/>
    </xf>
    <xf numFmtId="0" fontId="59" fillId="0" borderId="44" xfId="0" applyFont="1" applyFill="1" applyBorder="1" applyAlignment="1">
      <alignment horizontal="left"/>
    </xf>
    <xf numFmtId="3" fontId="59" fillId="0" borderId="22" xfId="0" applyNumberFormat="1" applyFont="1" applyFill="1" applyBorder="1" applyAlignment="1">
      <alignment horizontal="center"/>
    </xf>
    <xf numFmtId="3" fontId="59" fillId="0" borderId="19" xfId="0" applyNumberFormat="1" applyFont="1" applyFill="1" applyBorder="1" applyAlignment="1">
      <alignment horizontal="center"/>
    </xf>
    <xf numFmtId="3" fontId="59" fillId="0" borderId="45" xfId="0" applyNumberFormat="1" applyFont="1" applyFill="1" applyBorder="1" applyAlignment="1">
      <alignment horizontal="center"/>
    </xf>
    <xf numFmtId="0" fontId="60" fillId="49" borderId="10" xfId="96" applyFont="1" applyFill="1" applyBorder="1" applyAlignment="1">
      <alignment horizontal="center" vertical="center" wrapText="1"/>
    </xf>
    <xf numFmtId="9" fontId="58" fillId="0" borderId="10" xfId="100" applyFont="1" applyBorder="1" applyAlignment="1">
      <alignment horizontal="center" vertical="center"/>
    </xf>
    <xf numFmtId="0" fontId="59" fillId="0" borderId="20" xfId="0" applyFont="1" applyFill="1" applyBorder="1" applyAlignment="1">
      <alignment horizontal="center"/>
    </xf>
    <xf numFmtId="0" fontId="59" fillId="0" borderId="21" xfId="0" applyFont="1" applyFill="1" applyBorder="1" applyAlignment="1">
      <alignment horizontal="center"/>
    </xf>
    <xf numFmtId="0" fontId="59" fillId="0" borderId="29" xfId="0" applyFont="1" applyFill="1" applyBorder="1" applyAlignment="1">
      <alignment horizontal="center"/>
    </xf>
    <xf numFmtId="0" fontId="62" fillId="48" borderId="25" xfId="0" applyFont="1" applyFill="1" applyBorder="1" applyAlignment="1">
      <alignment horizontal="center"/>
    </xf>
    <xf numFmtId="0" fontId="62" fillId="48" borderId="0" xfId="0" applyFont="1" applyFill="1" applyAlignment="1">
      <alignment horizontal="center"/>
    </xf>
    <xf numFmtId="0" fontId="61" fillId="49" borderId="20" xfId="202" applyFont="1" applyFill="1" applyBorder="1" applyAlignment="1">
      <alignment horizontal="center" vertical="center" wrapText="1"/>
    </xf>
    <xf numFmtId="0" fontId="61" fillId="49" borderId="29" xfId="202" applyFont="1" applyFill="1" applyBorder="1" applyAlignment="1">
      <alignment horizontal="center" vertical="center" wrapText="1"/>
    </xf>
    <xf numFmtId="0" fontId="59" fillId="0" borderId="20" xfId="202" applyFont="1" applyFill="1" applyBorder="1" applyAlignment="1">
      <alignment horizontal="center" vertical="center" wrapText="1"/>
    </xf>
    <xf numFmtId="0" fontId="59" fillId="0" borderId="29" xfId="202" applyFont="1" applyFill="1" applyBorder="1" applyAlignment="1">
      <alignment horizontal="center" vertical="center" wrapText="1"/>
    </xf>
    <xf numFmtId="0" fontId="59" fillId="0" borderId="10" xfId="202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/>
    </xf>
    <xf numFmtId="0" fontId="39" fillId="0" borderId="73" xfId="0" applyFont="1" applyBorder="1" applyAlignment="1">
      <alignment horizontal="center"/>
    </xf>
    <xf numFmtId="0" fontId="38" fillId="25" borderId="10" xfId="0" applyFont="1" applyFill="1" applyBorder="1" applyAlignment="1">
      <alignment horizontal="center" vertical="center" wrapText="1"/>
    </xf>
    <xf numFmtId="0" fontId="62" fillId="0" borderId="10" xfId="0" applyFont="1" applyFill="1" applyBorder="1" applyAlignment="1">
      <alignment horizontal="left" vertical="center" wrapText="1"/>
    </xf>
    <xf numFmtId="0" fontId="61" fillId="49" borderId="17" xfId="0" applyFont="1" applyFill="1" applyBorder="1" applyAlignment="1">
      <alignment horizontal="center" vertical="center"/>
    </xf>
    <xf numFmtId="0" fontId="61" fillId="49" borderId="18" xfId="0" applyFont="1" applyFill="1" applyBorder="1" applyAlignment="1">
      <alignment horizontal="center" vertical="center"/>
    </xf>
    <xf numFmtId="0" fontId="61" fillId="49" borderId="22" xfId="0" applyFont="1" applyFill="1" applyBorder="1" applyAlignment="1">
      <alignment horizontal="center" vertical="center"/>
    </xf>
    <xf numFmtId="0" fontId="61" fillId="49" borderId="45" xfId="0" applyFont="1" applyFill="1" applyBorder="1" applyAlignment="1">
      <alignment horizontal="center" vertical="center"/>
    </xf>
    <xf numFmtId="0" fontId="61" fillId="49" borderId="23" xfId="0" applyFont="1" applyFill="1" applyBorder="1" applyAlignment="1">
      <alignment horizontal="center" vertical="center"/>
    </xf>
    <xf numFmtId="0" fontId="61" fillId="49" borderId="19" xfId="0" applyFont="1" applyFill="1" applyBorder="1" applyAlignment="1">
      <alignment horizontal="center" vertical="center"/>
    </xf>
    <xf numFmtId="0" fontId="38" fillId="49" borderId="20" xfId="0" applyFont="1" applyFill="1" applyBorder="1" applyAlignment="1">
      <alignment horizontal="center" vertical="center"/>
    </xf>
    <xf numFmtId="0" fontId="38" fillId="49" borderId="29" xfId="0" applyFont="1" applyFill="1" applyBorder="1" applyAlignment="1">
      <alignment horizontal="center" vertical="center"/>
    </xf>
    <xf numFmtId="0" fontId="61" fillId="49" borderId="20" xfId="0" applyFont="1" applyFill="1" applyBorder="1" applyAlignment="1">
      <alignment horizontal="center" vertical="center"/>
    </xf>
    <xf numFmtId="0" fontId="61" fillId="49" borderId="21" xfId="0" applyFont="1" applyFill="1" applyBorder="1" applyAlignment="1">
      <alignment horizontal="center" vertical="center"/>
    </xf>
    <xf numFmtId="0" fontId="61" fillId="49" borderId="29" xfId="0" applyFont="1" applyFill="1" applyBorder="1" applyAlignment="1">
      <alignment horizontal="center" vertical="center"/>
    </xf>
    <xf numFmtId="0" fontId="59" fillId="0" borderId="20" xfId="0" applyFont="1" applyFill="1" applyBorder="1" applyAlignment="1">
      <alignment horizontal="center" vertical="center" wrapText="1"/>
    </xf>
    <xf numFmtId="0" fontId="59" fillId="0" borderId="29" xfId="0" applyFont="1" applyFill="1" applyBorder="1" applyAlignment="1">
      <alignment horizontal="center" vertical="center" wrapText="1"/>
    </xf>
    <xf numFmtId="1" fontId="59" fillId="0" borderId="20" xfId="0" applyNumberFormat="1" applyFont="1" applyBorder="1" applyAlignment="1">
      <alignment horizontal="center" vertical="center" wrapText="1"/>
    </xf>
    <xf numFmtId="1" fontId="59" fillId="0" borderId="21" xfId="0" applyNumberFormat="1" applyFont="1" applyBorder="1" applyAlignment="1">
      <alignment horizontal="center" vertical="center" wrapText="1"/>
    </xf>
    <xf numFmtId="1" fontId="59" fillId="0" borderId="29" xfId="0" applyNumberFormat="1" applyFont="1" applyBorder="1" applyAlignment="1">
      <alignment horizontal="center" vertical="center" wrapText="1"/>
    </xf>
    <xf numFmtId="0" fontId="38" fillId="49" borderId="10" xfId="0" applyFont="1" applyFill="1" applyBorder="1" applyAlignment="1">
      <alignment horizontal="center" vertical="center"/>
    </xf>
    <xf numFmtId="0" fontId="94" fillId="0" borderId="74" xfId="95" applyFont="1" applyBorder="1" applyAlignment="1" applyProtection="1">
      <alignment horizontal="center"/>
      <protection hidden="1"/>
    </xf>
    <xf numFmtId="0" fontId="79" fillId="0" borderId="20" xfId="0" applyFont="1" applyBorder="1" applyAlignment="1">
      <alignment horizontal="center" vertical="center" wrapText="1"/>
    </xf>
    <xf numFmtId="0" fontId="79" fillId="0" borderId="29" xfId="0" applyFont="1" applyBorder="1" applyAlignment="1">
      <alignment horizontal="center" vertical="center" wrapText="1"/>
    </xf>
    <xf numFmtId="14" fontId="62" fillId="0" borderId="19" xfId="0" applyNumberFormat="1" applyFont="1" applyBorder="1" applyAlignment="1">
      <alignment horizontal="left"/>
    </xf>
    <xf numFmtId="0" fontId="59" fillId="0" borderId="10" xfId="0" applyFont="1" applyFill="1" applyBorder="1" applyAlignment="1">
      <alignment horizontal="center" vertical="center" wrapText="1"/>
    </xf>
    <xf numFmtId="0" fontId="59" fillId="0" borderId="20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79" fillId="0" borderId="20" xfId="0" applyFont="1" applyFill="1" applyBorder="1" applyAlignment="1">
      <alignment horizontal="center" vertical="center" wrapText="1"/>
    </xf>
    <xf numFmtId="0" fontId="79" fillId="0" borderId="21" xfId="0" applyFont="1" applyFill="1" applyBorder="1" applyAlignment="1">
      <alignment horizontal="center" vertical="center" wrapText="1"/>
    </xf>
    <xf numFmtId="0" fontId="79" fillId="0" borderId="29" xfId="0" applyFont="1" applyFill="1" applyBorder="1" applyAlignment="1">
      <alignment horizontal="center" vertical="center" wrapText="1"/>
    </xf>
    <xf numFmtId="0" fontId="80" fillId="49" borderId="10" xfId="0" applyFont="1" applyFill="1" applyBorder="1" applyAlignment="1">
      <alignment horizontal="center" vertical="center" wrapText="1"/>
    </xf>
    <xf numFmtId="0" fontId="61" fillId="49" borderId="29" xfId="0" applyFont="1" applyFill="1" applyBorder="1" applyAlignment="1">
      <alignment horizontal="center" vertical="center" wrapText="1"/>
    </xf>
    <xf numFmtId="0" fontId="59" fillId="0" borderId="23" xfId="0" applyFont="1" applyFill="1" applyBorder="1" applyAlignment="1">
      <alignment horizontal="center" vertical="center" wrapText="1"/>
    </xf>
    <xf numFmtId="0" fontId="59" fillId="0" borderId="18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 wrapText="1"/>
    </xf>
    <xf numFmtId="0" fontId="59" fillId="0" borderId="44" xfId="0" applyFont="1" applyFill="1" applyBorder="1" applyAlignment="1">
      <alignment horizontal="center" vertical="center" wrapText="1"/>
    </xf>
    <xf numFmtId="0" fontId="59" fillId="0" borderId="19" xfId="0" applyFont="1" applyFill="1" applyBorder="1" applyAlignment="1">
      <alignment horizontal="center" vertical="center" wrapText="1"/>
    </xf>
    <xf numFmtId="0" fontId="59" fillId="0" borderId="45" xfId="0" applyFont="1" applyFill="1" applyBorder="1" applyAlignment="1">
      <alignment horizontal="center" vertical="center" wrapText="1"/>
    </xf>
    <xf numFmtId="0" fontId="79" fillId="0" borderId="10" xfId="0" applyFont="1" applyFill="1" applyBorder="1" applyAlignment="1">
      <alignment horizontal="center" vertical="center"/>
    </xf>
    <xf numFmtId="0" fontId="79" fillId="0" borderId="20" xfId="0" applyFont="1" applyFill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 wrapText="1"/>
    </xf>
    <xf numFmtId="0" fontId="61" fillId="49" borderId="23" xfId="0" applyFont="1" applyFill="1" applyBorder="1" applyAlignment="1">
      <alignment horizontal="center" vertical="center" wrapText="1"/>
    </xf>
    <xf numFmtId="0" fontId="61" fillId="49" borderId="18" xfId="0" applyFont="1" applyFill="1" applyBorder="1" applyAlignment="1">
      <alignment horizontal="center" vertical="center" wrapText="1"/>
    </xf>
    <xf numFmtId="0" fontId="61" fillId="49" borderId="19" xfId="0" applyFont="1" applyFill="1" applyBorder="1" applyAlignment="1">
      <alignment horizontal="center" vertical="center" wrapText="1"/>
    </xf>
    <xf numFmtId="0" fontId="61" fillId="49" borderId="45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vertical="center" wrapText="1"/>
    </xf>
    <xf numFmtId="0" fontId="45" fillId="0" borderId="18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45" fillId="0" borderId="45" xfId="0" applyFont="1" applyBorder="1" applyAlignment="1">
      <alignment horizontal="center" vertical="center" wrapText="1"/>
    </xf>
    <xf numFmtId="1" fontId="59" fillId="0" borderId="26" xfId="0" applyNumberFormat="1" applyFont="1" applyBorder="1" applyAlignment="1">
      <alignment horizontal="center" vertical="center" wrapText="1"/>
    </xf>
    <xf numFmtId="1" fontId="59" fillId="0" borderId="30" xfId="0" applyNumberFormat="1" applyFont="1" applyBorder="1" applyAlignment="1">
      <alignment horizontal="center" vertical="center" wrapText="1"/>
    </xf>
    <xf numFmtId="1" fontId="59" fillId="0" borderId="28" xfId="0" applyNumberFormat="1" applyFont="1" applyBorder="1" applyAlignment="1">
      <alignment horizontal="center" vertical="center" wrapText="1"/>
    </xf>
    <xf numFmtId="1" fontId="59" fillId="0" borderId="31" xfId="0" applyNumberFormat="1" applyFont="1" applyBorder="1" applyAlignment="1">
      <alignment horizontal="center" vertical="center" wrapText="1"/>
    </xf>
    <xf numFmtId="1" fontId="59" fillId="0" borderId="10" xfId="0" applyNumberFormat="1" applyFont="1" applyBorder="1" applyAlignment="1">
      <alignment horizontal="center" vertical="center" wrapText="1"/>
    </xf>
    <xf numFmtId="1" fontId="79" fillId="0" borderId="10" xfId="0" applyNumberFormat="1" applyFont="1" applyBorder="1" applyAlignment="1" applyProtection="1">
      <alignment horizontal="center" vertical="center" wrapText="1"/>
      <protection hidden="1"/>
    </xf>
    <xf numFmtId="3" fontId="59" fillId="0" borderId="23" xfId="0" applyNumberFormat="1" applyFont="1" applyFill="1" applyBorder="1" applyAlignment="1">
      <alignment horizontal="center" vertical="center" wrapText="1"/>
    </xf>
    <xf numFmtId="3" fontId="59" fillId="0" borderId="18" xfId="0" applyNumberFormat="1" applyFont="1" applyFill="1" applyBorder="1" applyAlignment="1">
      <alignment horizontal="center" vertical="center" wrapText="1"/>
    </xf>
    <xf numFmtId="3" fontId="59" fillId="0" borderId="0" xfId="0" applyNumberFormat="1" applyFont="1" applyFill="1" applyBorder="1" applyAlignment="1">
      <alignment horizontal="center" vertical="center" wrapText="1"/>
    </xf>
    <xf numFmtId="3" fontId="59" fillId="0" borderId="44" xfId="0" applyNumberFormat="1" applyFont="1" applyFill="1" applyBorder="1" applyAlignment="1">
      <alignment horizontal="center" vertical="center" wrapText="1"/>
    </xf>
    <xf numFmtId="3" fontId="59" fillId="0" borderId="19" xfId="0" applyNumberFormat="1" applyFont="1" applyFill="1" applyBorder="1" applyAlignment="1">
      <alignment horizontal="center" vertical="center" wrapText="1"/>
    </xf>
    <xf numFmtId="3" fontId="59" fillId="0" borderId="45" xfId="0" applyNumberFormat="1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left" vertical="center" wrapText="1"/>
    </xf>
    <xf numFmtId="0" fontId="62" fillId="0" borderId="17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2" fillId="0" borderId="25" xfId="0" applyFont="1" applyBorder="1" applyAlignment="1">
      <alignment horizontal="center" vertical="center" wrapText="1"/>
    </xf>
    <xf numFmtId="0" fontId="62" fillId="0" borderId="44" xfId="0" applyFont="1" applyBorder="1" applyAlignment="1">
      <alignment horizontal="center" vertical="center" wrapText="1"/>
    </xf>
    <xf numFmtId="0" fontId="62" fillId="0" borderId="22" xfId="0" applyFont="1" applyBorder="1" applyAlignment="1">
      <alignment horizontal="center" vertical="center" wrapText="1"/>
    </xf>
    <xf numFmtId="0" fontId="62" fillId="0" borderId="45" xfId="0" applyFont="1" applyBorder="1" applyAlignment="1">
      <alignment horizontal="center" vertical="center" wrapText="1"/>
    </xf>
    <xf numFmtId="0" fontId="61" fillId="49" borderId="10" xfId="202" applyFont="1" applyFill="1" applyBorder="1" applyAlignment="1">
      <alignment horizontal="center" vertical="center"/>
    </xf>
    <xf numFmtId="0" fontId="59" fillId="0" borderId="10" xfId="202" applyFont="1" applyFill="1" applyBorder="1" applyAlignment="1">
      <alignment horizontal="center" vertical="center"/>
    </xf>
    <xf numFmtId="0" fontId="61" fillId="49" borderId="20" xfId="202" applyFont="1" applyFill="1" applyBorder="1" applyAlignment="1">
      <alignment horizontal="center" vertical="center"/>
    </xf>
    <xf numFmtId="0" fontId="61" fillId="49" borderId="21" xfId="202" applyFont="1" applyFill="1" applyBorder="1" applyAlignment="1">
      <alignment horizontal="center" vertical="center"/>
    </xf>
    <xf numFmtId="0" fontId="61" fillId="49" borderId="29" xfId="202" applyFont="1" applyFill="1" applyBorder="1" applyAlignment="1">
      <alignment horizontal="center" vertical="center"/>
    </xf>
    <xf numFmtId="0" fontId="61" fillId="49" borderId="21" xfId="202" applyFont="1" applyFill="1" applyBorder="1" applyAlignment="1">
      <alignment horizontal="center" vertical="center" wrapText="1"/>
    </xf>
    <xf numFmtId="0" fontId="59" fillId="0" borderId="21" xfId="202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9" fillId="0" borderId="22" xfId="0" applyFont="1" applyFill="1" applyBorder="1" applyAlignment="1">
      <alignment horizontal="center" vertical="center" wrapText="1"/>
    </xf>
    <xf numFmtId="0" fontId="59" fillId="0" borderId="26" xfId="0" applyFont="1" applyBorder="1" applyAlignment="1">
      <alignment horizontal="center" vertical="center" wrapText="1"/>
    </xf>
    <xf numFmtId="0" fontId="59" fillId="0" borderId="42" xfId="0" applyFont="1" applyBorder="1" applyAlignment="1">
      <alignment horizontal="center" vertical="center" wrapText="1"/>
    </xf>
    <xf numFmtId="0" fontId="59" fillId="0" borderId="30" xfId="0" applyFont="1" applyBorder="1" applyAlignment="1">
      <alignment horizontal="center" vertical="center" wrapText="1"/>
    </xf>
    <xf numFmtId="0" fontId="59" fillId="0" borderId="28" xfId="0" applyFont="1" applyBorder="1" applyAlignment="1">
      <alignment horizontal="center" vertical="center" wrapText="1"/>
    </xf>
    <xf numFmtId="0" fontId="59" fillId="0" borderId="33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  <xf numFmtId="0" fontId="61" fillId="49" borderId="17" xfId="0" applyFont="1" applyFill="1" applyBorder="1" applyAlignment="1">
      <alignment horizontal="center" vertical="center" wrapText="1"/>
    </xf>
    <xf numFmtId="0" fontId="61" fillId="49" borderId="22" xfId="0" applyFont="1" applyFill="1" applyBorder="1" applyAlignment="1">
      <alignment horizontal="center" vertical="center" wrapText="1"/>
    </xf>
    <xf numFmtId="2" fontId="35" fillId="0" borderId="14" xfId="0" applyNumberFormat="1" applyFont="1" applyBorder="1" applyAlignment="1">
      <alignment horizontal="center" vertical="center" wrapText="1"/>
    </xf>
    <xf numFmtId="2" fontId="35" fillId="0" borderId="16" xfId="0" applyNumberFormat="1" applyFont="1" applyBorder="1" applyAlignment="1">
      <alignment horizontal="center" vertical="center" wrapText="1"/>
    </xf>
    <xf numFmtId="165" fontId="59" fillId="0" borderId="26" xfId="0" applyNumberFormat="1" applyFont="1" applyBorder="1" applyAlignment="1">
      <alignment horizontal="center" vertical="center" wrapText="1"/>
    </xf>
    <xf numFmtId="165" fontId="59" fillId="0" borderId="30" xfId="0" applyNumberFormat="1" applyFont="1" applyBorder="1" applyAlignment="1">
      <alignment horizontal="center" vertical="center" wrapText="1"/>
    </xf>
    <xf numFmtId="0" fontId="62" fillId="0" borderId="28" xfId="0" applyFont="1" applyBorder="1" applyAlignment="1">
      <alignment horizontal="center"/>
    </xf>
    <xf numFmtId="0" fontId="62" fillId="0" borderId="31" xfId="0" applyFont="1" applyBorder="1" applyAlignment="1">
      <alignment horizontal="center"/>
    </xf>
    <xf numFmtId="0" fontId="59" fillId="0" borderId="10" xfId="0" applyFont="1" applyFill="1" applyBorder="1" applyAlignment="1">
      <alignment horizontal="left" vertical="center" wrapText="1"/>
    </xf>
    <xf numFmtId="2" fontId="79" fillId="0" borderId="17" xfId="0" applyNumberFormat="1" applyFont="1" applyBorder="1" applyAlignment="1">
      <alignment horizontal="center" vertical="center" wrapText="1"/>
    </xf>
    <xf numFmtId="2" fontId="79" fillId="0" borderId="23" xfId="0" applyNumberFormat="1" applyFont="1" applyBorder="1" applyAlignment="1">
      <alignment horizontal="center" vertical="center" wrapText="1"/>
    </xf>
    <xf numFmtId="2" fontId="79" fillId="0" borderId="18" xfId="0" applyNumberFormat="1" applyFont="1" applyBorder="1" applyAlignment="1">
      <alignment horizontal="center" vertical="center" wrapText="1"/>
    </xf>
    <xf numFmtId="2" fontId="79" fillId="0" borderId="22" xfId="0" applyNumberFormat="1" applyFont="1" applyBorder="1" applyAlignment="1">
      <alignment horizontal="center" vertical="center" wrapText="1"/>
    </xf>
    <xf numFmtId="2" fontId="79" fillId="0" borderId="19" xfId="0" applyNumberFormat="1" applyFont="1" applyBorder="1" applyAlignment="1">
      <alignment horizontal="center" vertical="center" wrapText="1"/>
    </xf>
    <xf numFmtId="2" fontId="79" fillId="0" borderId="45" xfId="0" applyNumberFormat="1" applyFont="1" applyBorder="1" applyAlignment="1">
      <alignment horizontal="center" vertical="center" wrapText="1"/>
    </xf>
    <xf numFmtId="1" fontId="79" fillId="0" borderId="17" xfId="0" applyNumberFormat="1" applyFont="1" applyBorder="1" applyAlignment="1">
      <alignment horizontal="center" vertical="center" wrapText="1"/>
    </xf>
    <xf numFmtId="1" fontId="79" fillId="0" borderId="23" xfId="0" applyNumberFormat="1" applyFont="1" applyBorder="1" applyAlignment="1">
      <alignment horizontal="center" vertical="center" wrapText="1"/>
    </xf>
    <xf numFmtId="1" fontId="79" fillId="0" borderId="18" xfId="0" applyNumberFormat="1" applyFont="1" applyBorder="1" applyAlignment="1">
      <alignment horizontal="center" vertical="center" wrapText="1"/>
    </xf>
    <xf numFmtId="1" fontId="79" fillId="0" borderId="22" xfId="0" applyNumberFormat="1" applyFont="1" applyBorder="1" applyAlignment="1">
      <alignment horizontal="center" vertical="center" wrapText="1"/>
    </xf>
    <xf numFmtId="1" fontId="79" fillId="0" borderId="19" xfId="0" applyNumberFormat="1" applyFont="1" applyBorder="1" applyAlignment="1">
      <alignment horizontal="center" vertical="center" wrapText="1"/>
    </xf>
    <xf numFmtId="1" fontId="79" fillId="0" borderId="45" xfId="0" applyNumberFormat="1" applyFont="1" applyBorder="1" applyAlignment="1">
      <alignment horizontal="center" vertical="center" wrapText="1"/>
    </xf>
    <xf numFmtId="0" fontId="68" fillId="49" borderId="20" xfId="96" applyFont="1" applyFill="1" applyBorder="1" applyAlignment="1">
      <alignment horizontal="center" vertical="center" wrapText="1"/>
    </xf>
    <xf numFmtId="0" fontId="68" fillId="49" borderId="21" xfId="96" applyFont="1" applyFill="1" applyBorder="1" applyAlignment="1">
      <alignment horizontal="center" vertical="center" wrapText="1"/>
    </xf>
    <xf numFmtId="0" fontId="68" fillId="49" borderId="29" xfId="96" applyFont="1" applyFill="1" applyBorder="1" applyAlignment="1">
      <alignment horizontal="center" vertical="center" wrapText="1"/>
    </xf>
    <xf numFmtId="9" fontId="69" fillId="0" borderId="10" xfId="100" applyFont="1" applyBorder="1" applyAlignment="1">
      <alignment horizontal="center" vertical="center"/>
    </xf>
    <xf numFmtId="0" fontId="59" fillId="0" borderId="14" xfId="0" applyFont="1" applyFill="1" applyBorder="1" applyAlignment="1">
      <alignment horizontal="center" vertical="center" wrapText="1"/>
    </xf>
    <xf numFmtId="0" fontId="38" fillId="25" borderId="20" xfId="0" applyFont="1" applyFill="1" applyBorder="1" applyAlignment="1">
      <alignment horizontal="center" vertical="center" wrapText="1"/>
    </xf>
    <xf numFmtId="0" fontId="38" fillId="25" borderId="21" xfId="0" applyFont="1" applyFill="1" applyBorder="1" applyAlignment="1">
      <alignment horizontal="center" vertical="center" wrapText="1"/>
    </xf>
    <xf numFmtId="0" fontId="38" fillId="25" borderId="29" xfId="0" applyFont="1" applyFill="1" applyBorder="1" applyAlignment="1">
      <alignment horizontal="center" vertical="center" wrapText="1"/>
    </xf>
    <xf numFmtId="0" fontId="62" fillId="0" borderId="20" xfId="0" applyFont="1" applyFill="1" applyBorder="1" applyAlignment="1">
      <alignment horizontal="left" vertical="center" wrapText="1"/>
    </xf>
    <xf numFmtId="0" fontId="62" fillId="0" borderId="21" xfId="0" applyFont="1" applyFill="1" applyBorder="1" applyAlignment="1">
      <alignment horizontal="left" vertical="center" wrapText="1"/>
    </xf>
    <xf numFmtId="0" fontId="79" fillId="0" borderId="21" xfId="0" applyFont="1" applyFill="1" applyBorder="1" applyAlignment="1">
      <alignment horizontal="center" vertical="center"/>
    </xf>
    <xf numFmtId="0" fontId="79" fillId="0" borderId="29" xfId="0" applyFont="1" applyFill="1" applyBorder="1" applyAlignment="1">
      <alignment horizontal="center" vertical="center"/>
    </xf>
    <xf numFmtId="0" fontId="61" fillId="49" borderId="24" xfId="0" applyFont="1" applyFill="1" applyBorder="1" applyAlignment="1">
      <alignment horizontal="center" vertical="center" wrapText="1"/>
    </xf>
    <xf numFmtId="0" fontId="47" fillId="49" borderId="10" xfId="0" applyFont="1" applyFill="1" applyBorder="1" applyAlignment="1">
      <alignment horizontal="center" vertical="center"/>
    </xf>
    <xf numFmtId="0" fontId="47" fillId="49" borderId="20" xfId="0" applyFont="1" applyFill="1" applyBorder="1" applyAlignment="1">
      <alignment horizontal="center" vertical="center" wrapText="1"/>
    </xf>
    <xf numFmtId="0" fontId="47" fillId="49" borderId="29" xfId="0" applyFont="1" applyFill="1" applyBorder="1" applyAlignment="1">
      <alignment horizontal="center" vertical="center"/>
    </xf>
    <xf numFmtId="0" fontId="47" fillId="49" borderId="21" xfId="0" applyFont="1" applyFill="1" applyBorder="1" applyAlignment="1">
      <alignment horizontal="center" vertical="center" wrapText="1"/>
    </xf>
    <xf numFmtId="0" fontId="47" fillId="49" borderId="29" xfId="0" applyFont="1" applyFill="1" applyBorder="1" applyAlignment="1">
      <alignment horizontal="center" vertical="center" wrapText="1"/>
    </xf>
    <xf numFmtId="0" fontId="79" fillId="0" borderId="29" xfId="0" applyFont="1" applyBorder="1" applyAlignment="1">
      <alignment horizontal="center" vertical="center"/>
    </xf>
    <xf numFmtId="0" fontId="85" fillId="0" borderId="20" xfId="0" applyFont="1" applyBorder="1" applyAlignment="1">
      <alignment horizontal="center" vertical="center"/>
    </xf>
    <xf numFmtId="0" fontId="85" fillId="0" borderId="29" xfId="0" applyFont="1" applyBorder="1" applyAlignment="1">
      <alignment horizontal="center" vertical="center"/>
    </xf>
    <xf numFmtId="0" fontId="61" fillId="49" borderId="24" xfId="0" applyFont="1" applyFill="1" applyBorder="1" applyAlignment="1">
      <alignment horizontal="center" vertical="center"/>
    </xf>
    <xf numFmtId="0" fontId="61" fillId="49" borderId="25" xfId="0" applyFont="1" applyFill="1" applyBorder="1" applyAlignment="1">
      <alignment horizontal="center" vertical="center"/>
    </xf>
    <xf numFmtId="0" fontId="61" fillId="49" borderId="44" xfId="0" applyFont="1" applyFill="1" applyBorder="1" applyAlignment="1">
      <alignment horizontal="center" vertical="center"/>
    </xf>
    <xf numFmtId="0" fontId="61" fillId="49" borderId="25" xfId="0" applyFont="1" applyFill="1" applyBorder="1" applyAlignment="1">
      <alignment horizontal="center" vertical="center" wrapText="1"/>
    </xf>
    <xf numFmtId="0" fontId="61" fillId="49" borderId="44" xfId="0" applyFont="1" applyFill="1" applyBorder="1" applyAlignment="1">
      <alignment horizontal="center" vertical="center" wrapText="1"/>
    </xf>
    <xf numFmtId="0" fontId="47" fillId="49" borderId="14" xfId="0" applyFont="1" applyFill="1" applyBorder="1" applyAlignment="1">
      <alignment horizontal="center" vertical="center" wrapText="1"/>
    </xf>
    <xf numFmtId="0" fontId="47" fillId="49" borderId="24" xfId="0" applyFont="1" applyFill="1" applyBorder="1" applyAlignment="1">
      <alignment horizontal="center" vertical="center" wrapText="1"/>
    </xf>
    <xf numFmtId="0" fontId="47" fillId="49" borderId="16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61" fillId="0" borderId="25" xfId="0" applyFont="1" applyFill="1" applyBorder="1" applyAlignment="1">
      <alignment horizontal="center" vertical="center" wrapText="1"/>
    </xf>
    <xf numFmtId="0" fontId="61" fillId="0" borderId="44" xfId="0" applyFont="1" applyFill="1" applyBorder="1" applyAlignment="1">
      <alignment horizontal="center" vertical="center" wrapText="1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16" xfId="0" applyNumberFormat="1" applyFont="1" applyBorder="1" applyAlignment="1">
      <alignment horizontal="center" vertical="center" wrapText="1"/>
    </xf>
    <xf numFmtId="1" fontId="80" fillId="0" borderId="17" xfId="0" applyNumberFormat="1" applyFont="1" applyBorder="1" applyAlignment="1">
      <alignment horizontal="center" vertical="center" wrapText="1"/>
    </xf>
    <xf numFmtId="1" fontId="80" fillId="0" borderId="23" xfId="0" applyNumberFormat="1" applyFont="1" applyBorder="1" applyAlignment="1">
      <alignment horizontal="center" vertical="center" wrapText="1"/>
    </xf>
    <xf numFmtId="1" fontId="80" fillId="0" borderId="18" xfId="0" applyNumberFormat="1" applyFont="1" applyBorder="1" applyAlignment="1">
      <alignment horizontal="center" vertical="center" wrapText="1"/>
    </xf>
    <xf numFmtId="1" fontId="80" fillId="0" borderId="22" xfId="0" applyNumberFormat="1" applyFont="1" applyBorder="1" applyAlignment="1">
      <alignment horizontal="center" vertical="center" wrapText="1"/>
    </xf>
    <xf numFmtId="1" fontId="80" fillId="0" borderId="19" xfId="0" applyNumberFormat="1" applyFont="1" applyBorder="1" applyAlignment="1">
      <alignment horizontal="center" vertical="center" wrapText="1"/>
    </xf>
    <xf numFmtId="1" fontId="80" fillId="0" borderId="45" xfId="0" applyNumberFormat="1" applyFont="1" applyBorder="1" applyAlignment="1">
      <alignment horizontal="center" vertical="center" wrapText="1"/>
    </xf>
    <xf numFmtId="2" fontId="80" fillId="0" borderId="17" xfId="0" applyNumberFormat="1" applyFont="1" applyBorder="1" applyAlignment="1">
      <alignment horizontal="center" vertical="center" wrapText="1"/>
    </xf>
    <xf numFmtId="2" fontId="80" fillId="0" borderId="23" xfId="0" applyNumberFormat="1" applyFont="1" applyBorder="1" applyAlignment="1">
      <alignment horizontal="center" vertical="center" wrapText="1"/>
    </xf>
    <xf numFmtId="2" fontId="80" fillId="0" borderId="18" xfId="0" applyNumberFormat="1" applyFont="1" applyBorder="1" applyAlignment="1">
      <alignment horizontal="center" vertical="center" wrapText="1"/>
    </xf>
    <xf numFmtId="2" fontId="80" fillId="0" borderId="22" xfId="0" applyNumberFormat="1" applyFont="1" applyBorder="1" applyAlignment="1">
      <alignment horizontal="center" vertical="center" wrapText="1"/>
    </xf>
    <xf numFmtId="2" fontId="80" fillId="0" borderId="19" xfId="0" applyNumberFormat="1" applyFont="1" applyBorder="1" applyAlignment="1">
      <alignment horizontal="center" vertical="center" wrapText="1"/>
    </xf>
    <xf numFmtId="2" fontId="80" fillId="0" borderId="45" xfId="0" applyNumberFormat="1" applyFont="1" applyBorder="1" applyAlignment="1">
      <alignment horizontal="center" vertical="center" wrapText="1"/>
    </xf>
    <xf numFmtId="2" fontId="59" fillId="0" borderId="14" xfId="0" applyNumberFormat="1" applyFont="1" applyBorder="1" applyAlignment="1">
      <alignment horizontal="center" vertical="center" wrapText="1"/>
    </xf>
    <xf numFmtId="2" fontId="59" fillId="0" borderId="16" xfId="0" applyNumberFormat="1" applyFont="1" applyBorder="1" applyAlignment="1">
      <alignment horizontal="center" vertical="center" wrapText="1"/>
    </xf>
    <xf numFmtId="0" fontId="61" fillId="0" borderId="22" xfId="0" applyFont="1" applyFill="1" applyBorder="1" applyAlignment="1">
      <alignment horizontal="center" vertical="center" wrapText="1"/>
    </xf>
    <xf numFmtId="0" fontId="61" fillId="0" borderId="45" xfId="0" applyFont="1" applyFill="1" applyBorder="1" applyAlignment="1">
      <alignment horizontal="center" vertical="center" wrapText="1"/>
    </xf>
    <xf numFmtId="1" fontId="59" fillId="0" borderId="20" xfId="0" applyNumberFormat="1" applyFont="1" applyFill="1" applyBorder="1" applyAlignment="1">
      <alignment horizontal="center" vertical="center" wrapText="1"/>
    </xf>
    <xf numFmtId="1" fontId="59" fillId="0" borderId="21" xfId="0" applyNumberFormat="1" applyFont="1" applyFill="1" applyBorder="1" applyAlignment="1">
      <alignment horizontal="center" vertical="center" wrapText="1"/>
    </xf>
    <xf numFmtId="1" fontId="59" fillId="0" borderId="29" xfId="0" applyNumberFormat="1" applyFont="1" applyFill="1" applyBorder="1" applyAlignment="1">
      <alignment horizontal="center" vertical="center" wrapText="1"/>
    </xf>
    <xf numFmtId="0" fontId="49" fillId="0" borderId="73" xfId="92" applyFont="1" applyBorder="1" applyAlignment="1">
      <alignment horizontal="center"/>
    </xf>
    <xf numFmtId="0" fontId="54" fillId="0" borderId="74" xfId="92" applyFont="1" applyBorder="1" applyAlignment="1">
      <alignment horizontal="center"/>
    </xf>
    <xf numFmtId="0" fontId="52" fillId="25" borderId="10" xfId="92" applyFont="1" applyFill="1" applyBorder="1" applyAlignment="1">
      <alignment horizontal="center" vertical="center" wrapText="1"/>
    </xf>
    <xf numFmtId="0" fontId="52" fillId="25" borderId="14" xfId="92" applyFont="1" applyFill="1" applyBorder="1" applyAlignment="1">
      <alignment horizontal="center" vertical="center" wrapText="1"/>
    </xf>
    <xf numFmtId="0" fontId="52" fillId="25" borderId="10" xfId="92" applyFont="1" applyFill="1" applyBorder="1" applyAlignment="1">
      <alignment horizontal="center" wrapText="1"/>
    </xf>
    <xf numFmtId="0" fontId="51" fillId="25" borderId="10" xfId="92" applyFont="1" applyFill="1" applyBorder="1" applyAlignment="1">
      <alignment horizontal="center" wrapText="1"/>
    </xf>
    <xf numFmtId="167" fontId="52" fillId="25" borderId="10" xfId="92" applyNumberFormat="1" applyFont="1" applyFill="1" applyBorder="1" applyAlignment="1">
      <alignment horizontal="center" vertical="center" wrapText="1"/>
    </xf>
    <xf numFmtId="167" fontId="52" fillId="25" borderId="14" xfId="92" applyNumberFormat="1" applyFont="1" applyFill="1" applyBorder="1" applyAlignment="1">
      <alignment horizontal="center" vertical="center" wrapText="1"/>
    </xf>
    <xf numFmtId="0" fontId="52" fillId="25" borderId="17" xfId="92" applyFont="1" applyFill="1" applyBorder="1" applyAlignment="1">
      <alignment horizontal="center" wrapText="1"/>
    </xf>
    <xf numFmtId="0" fontId="52" fillId="25" borderId="18" xfId="92" applyFont="1" applyFill="1" applyBorder="1" applyAlignment="1">
      <alignment horizontal="center" wrapText="1"/>
    </xf>
    <xf numFmtId="4" fontId="46" fillId="0" borderId="10" xfId="92" applyNumberFormat="1" applyFont="1" applyFill="1" applyBorder="1" applyAlignment="1">
      <alignment horizontal="center" vertical="center" wrapText="1"/>
    </xf>
    <xf numFmtId="0" fontId="51" fillId="0" borderId="10" xfId="92" applyNumberFormat="1" applyFont="1" applyFill="1" applyBorder="1" applyAlignment="1">
      <alignment horizontal="center" vertical="center" wrapText="1"/>
    </xf>
    <xf numFmtId="0" fontId="51" fillId="0" borderId="10" xfId="92" applyFont="1" applyBorder="1" applyAlignment="1">
      <alignment horizontal="center" vertical="center" wrapText="1"/>
    </xf>
    <xf numFmtId="0" fontId="51" fillId="0" borderId="60" xfId="92" applyFont="1" applyBorder="1" applyAlignment="1">
      <alignment horizontal="center" vertical="center" wrapText="1"/>
    </xf>
    <xf numFmtId="0" fontId="46" fillId="0" borderId="10" xfId="92" applyFont="1" applyFill="1" applyBorder="1" applyAlignment="1">
      <alignment wrapText="1"/>
    </xf>
    <xf numFmtId="2" fontId="53" fillId="0" borderId="10" xfId="57" applyNumberFormat="1" applyFont="1" applyFill="1" applyBorder="1" applyAlignment="1">
      <alignment horizontal="center" vertical="center" wrapText="1"/>
    </xf>
    <xf numFmtId="0" fontId="46" fillId="0" borderId="10" xfId="92" applyFont="1" applyFill="1" applyBorder="1" applyAlignment="1">
      <alignment horizontal="center" vertical="center" wrapText="1"/>
    </xf>
    <xf numFmtId="0" fontId="46" fillId="0" borderId="10" xfId="92" applyFont="1" applyFill="1" applyBorder="1" applyAlignment="1">
      <alignment horizontal="center" wrapText="1"/>
    </xf>
    <xf numFmtId="0" fontId="46" fillId="0" borderId="60" xfId="92" applyFont="1" applyFill="1" applyBorder="1" applyAlignment="1">
      <alignment horizontal="center" wrapText="1"/>
    </xf>
    <xf numFmtId="2" fontId="53" fillId="0" borderId="60" xfId="57" applyNumberFormat="1" applyFont="1" applyFill="1" applyBorder="1" applyAlignment="1">
      <alignment horizontal="center" vertical="center" wrapText="1"/>
    </xf>
    <xf numFmtId="0" fontId="46" fillId="0" borderId="60" xfId="92" applyFont="1" applyFill="1" applyBorder="1" applyAlignment="1">
      <alignment horizontal="center" vertical="center" wrapText="1"/>
    </xf>
    <xf numFmtId="0" fontId="51" fillId="0" borderId="16" xfId="92" applyNumberFormat="1" applyFont="1" applyFill="1" applyBorder="1" applyAlignment="1">
      <alignment horizontal="center" vertical="center" wrapText="1"/>
    </xf>
    <xf numFmtId="4" fontId="46" fillId="0" borderId="16" xfId="92" applyNumberFormat="1" applyFont="1" applyFill="1" applyBorder="1" applyAlignment="1">
      <alignment horizontal="center" vertical="center" wrapText="1"/>
    </xf>
    <xf numFmtId="4" fontId="46" fillId="0" borderId="17" xfId="92" applyNumberFormat="1" applyFont="1" applyFill="1" applyBorder="1" applyAlignment="1">
      <alignment horizontal="center" vertical="center" wrapText="1"/>
    </xf>
    <xf numFmtId="4" fontId="46" fillId="0" borderId="23" xfId="92" applyNumberFormat="1" applyFont="1" applyFill="1" applyBorder="1" applyAlignment="1">
      <alignment horizontal="center" vertical="center" wrapText="1"/>
    </xf>
    <xf numFmtId="4" fontId="46" fillId="0" borderId="18" xfId="92" applyNumberFormat="1" applyFont="1" applyFill="1" applyBorder="1" applyAlignment="1">
      <alignment horizontal="center" vertical="center" wrapText="1"/>
    </xf>
    <xf numFmtId="4" fontId="46" fillId="0" borderId="22" xfId="92" applyNumberFormat="1" applyFont="1" applyFill="1" applyBorder="1" applyAlignment="1">
      <alignment horizontal="center" vertical="center" wrapText="1"/>
    </xf>
    <xf numFmtId="4" fontId="46" fillId="0" borderId="19" xfId="92" applyNumberFormat="1" applyFont="1" applyFill="1" applyBorder="1" applyAlignment="1">
      <alignment horizontal="center" vertical="center" wrapText="1"/>
    </xf>
    <xf numFmtId="4" fontId="46" fillId="0" borderId="45" xfId="92" applyNumberFormat="1" applyFont="1" applyFill="1" applyBorder="1" applyAlignment="1">
      <alignment horizontal="center" vertical="center" wrapText="1"/>
    </xf>
    <xf numFmtId="4" fontId="46" fillId="0" borderId="20" xfId="92" applyNumberFormat="1" applyFont="1" applyFill="1" applyBorder="1" applyAlignment="1">
      <alignment horizontal="center" vertical="center" wrapText="1"/>
    </xf>
    <xf numFmtId="4" fontId="46" fillId="0" borderId="21" xfId="92" applyNumberFormat="1" applyFont="1" applyFill="1" applyBorder="1" applyAlignment="1">
      <alignment horizontal="center" vertical="center" wrapText="1"/>
    </xf>
    <xf numFmtId="4" fontId="46" fillId="0" borderId="29" xfId="92" applyNumberFormat="1" applyFont="1" applyFill="1" applyBorder="1" applyAlignment="1">
      <alignment horizontal="center" vertical="center" wrapText="1"/>
    </xf>
    <xf numFmtId="0" fontId="46" fillId="0" borderId="20" xfId="92" applyNumberFormat="1" applyFont="1" applyFill="1" applyBorder="1" applyAlignment="1">
      <alignment horizontal="center" vertical="center" wrapText="1"/>
    </xf>
    <xf numFmtId="0" fontId="46" fillId="0" borderId="21" xfId="92" applyNumberFormat="1" applyFont="1" applyFill="1" applyBorder="1" applyAlignment="1">
      <alignment horizontal="center" vertical="center" wrapText="1"/>
    </xf>
    <xf numFmtId="0" fontId="46" fillId="0" borderId="29" xfId="92" applyNumberFormat="1" applyFont="1" applyFill="1" applyBorder="1" applyAlignment="1">
      <alignment horizontal="center" vertical="center" wrapText="1"/>
    </xf>
    <xf numFmtId="4" fontId="46" fillId="0" borderId="61" xfId="92" applyNumberFormat="1" applyFont="1" applyFill="1" applyBorder="1" applyAlignment="1">
      <alignment horizontal="center" vertical="center" wrapText="1"/>
    </xf>
    <xf numFmtId="4" fontId="46" fillId="0" borderId="62" xfId="92" applyNumberFormat="1" applyFont="1" applyFill="1" applyBorder="1" applyAlignment="1">
      <alignment horizontal="center" vertical="center" wrapText="1"/>
    </xf>
    <xf numFmtId="4" fontId="46" fillId="0" borderId="63" xfId="92" applyNumberFormat="1" applyFont="1" applyFill="1" applyBorder="1" applyAlignment="1">
      <alignment horizontal="center" vertical="center" wrapText="1"/>
    </xf>
    <xf numFmtId="0" fontId="51" fillId="0" borderId="14" xfId="92" applyNumberFormat="1" applyFont="1" applyFill="1" applyBorder="1" applyAlignment="1">
      <alignment horizontal="center" vertical="center" wrapText="1"/>
    </xf>
    <xf numFmtId="0" fontId="51" fillId="0" borderId="64" xfId="92" applyNumberFormat="1" applyFont="1" applyFill="1" applyBorder="1" applyAlignment="1">
      <alignment horizontal="center" vertical="center" wrapText="1"/>
    </xf>
    <xf numFmtId="0" fontId="46" fillId="0" borderId="16" xfId="92" applyNumberFormat="1" applyFont="1" applyFill="1" applyBorder="1" applyAlignment="1">
      <alignment horizontal="center" vertical="center" wrapText="1"/>
    </xf>
    <xf numFmtId="0" fontId="51" fillId="0" borderId="65" xfId="92" applyFont="1" applyBorder="1" applyAlignment="1">
      <alignment horizontal="center" vertical="center" wrapText="1"/>
    </xf>
    <xf numFmtId="0" fontId="51" fillId="0" borderId="16" xfId="92" applyFont="1" applyBorder="1" applyAlignment="1">
      <alignment horizontal="center" vertical="center" wrapText="1"/>
    </xf>
    <xf numFmtId="0" fontId="46" fillId="0" borderId="65" xfId="92" applyFont="1" applyFill="1" applyBorder="1" applyAlignment="1">
      <alignment horizontal="center" vertical="center" wrapText="1"/>
    </xf>
    <xf numFmtId="0" fontId="46" fillId="0" borderId="16" xfId="92" applyFont="1" applyFill="1" applyBorder="1" applyAlignment="1">
      <alignment horizontal="center" vertical="center" wrapText="1"/>
    </xf>
    <xf numFmtId="2" fontId="53" fillId="0" borderId="65" xfId="62" applyNumberFormat="1" applyFont="1" applyFill="1" applyBorder="1" applyAlignment="1">
      <alignment horizontal="center" vertical="center" wrapText="1"/>
    </xf>
    <xf numFmtId="2" fontId="53" fillId="0" borderId="16" xfId="62" applyNumberFormat="1" applyFont="1" applyFill="1" applyBorder="1" applyAlignment="1">
      <alignment horizontal="center" vertical="center" wrapText="1"/>
    </xf>
    <xf numFmtId="2" fontId="53" fillId="0" borderId="10" xfId="62" applyNumberFormat="1" applyFont="1" applyFill="1" applyBorder="1" applyAlignment="1">
      <alignment horizontal="center" vertical="center" wrapText="1"/>
    </xf>
    <xf numFmtId="4" fontId="46" fillId="0" borderId="65" xfId="92" applyNumberFormat="1" applyFont="1" applyFill="1" applyBorder="1" applyAlignment="1">
      <alignment horizontal="center" vertical="center" wrapText="1"/>
    </xf>
    <xf numFmtId="0" fontId="46" fillId="0" borderId="65" xfId="92" applyNumberFormat="1" applyFont="1" applyFill="1" applyBorder="1" applyAlignment="1">
      <alignment horizontal="center" vertical="center" wrapText="1"/>
    </xf>
    <xf numFmtId="0" fontId="51" fillId="0" borderId="65" xfId="92" applyNumberFormat="1" applyFont="1" applyFill="1" applyBorder="1" applyAlignment="1">
      <alignment horizontal="center" vertical="center" wrapText="1"/>
    </xf>
    <xf numFmtId="0" fontId="46" fillId="0" borderId="16" xfId="92" applyFont="1" applyFill="1" applyBorder="1" applyAlignment="1">
      <alignment wrapText="1"/>
    </xf>
    <xf numFmtId="0" fontId="46" fillId="0" borderId="20" xfId="92" applyFont="1" applyFill="1" applyBorder="1" applyAlignment="1">
      <alignment horizontal="center" vertical="center" wrapText="1"/>
    </xf>
    <xf numFmtId="0" fontId="46" fillId="0" borderId="21" xfId="92" applyFont="1" applyFill="1" applyBorder="1" applyAlignment="1">
      <alignment horizontal="center" vertical="center" wrapText="1"/>
    </xf>
    <xf numFmtId="0" fontId="46" fillId="0" borderId="29" xfId="92" applyFont="1" applyFill="1" applyBorder="1" applyAlignment="1">
      <alignment horizontal="center" vertical="center" wrapText="1"/>
    </xf>
    <xf numFmtId="49" fontId="46" fillId="0" borderId="20" xfId="92" applyNumberFormat="1" applyFont="1" applyFill="1" applyBorder="1" applyAlignment="1">
      <alignment horizontal="center" vertical="center" wrapText="1"/>
    </xf>
    <xf numFmtId="49" fontId="46" fillId="0" borderId="21" xfId="92" applyNumberFormat="1" applyFont="1" applyFill="1" applyBorder="1" applyAlignment="1">
      <alignment horizontal="center" vertical="center" wrapText="1"/>
    </xf>
    <xf numFmtId="49" fontId="46" fillId="0" borderId="29" xfId="92" applyNumberFormat="1" applyFont="1" applyFill="1" applyBorder="1" applyAlignment="1">
      <alignment horizontal="center" vertical="center" wrapText="1"/>
    </xf>
    <xf numFmtId="0" fontId="51" fillId="0" borderId="24" xfId="92" applyFont="1" applyBorder="1" applyAlignment="1">
      <alignment horizontal="center" vertical="center" wrapText="1"/>
    </xf>
    <xf numFmtId="0" fontId="51" fillId="0" borderId="64" xfId="92" applyFont="1" applyBorder="1" applyAlignment="1">
      <alignment horizontal="center" vertical="center" wrapText="1"/>
    </xf>
    <xf numFmtId="0" fontId="46" fillId="0" borderId="66" xfId="92" applyFont="1" applyFill="1" applyBorder="1" applyAlignment="1">
      <alignment horizontal="center" wrapText="1"/>
    </xf>
    <xf numFmtId="0" fontId="46" fillId="0" borderId="24" xfId="92" applyFont="1" applyFill="1" applyBorder="1" applyAlignment="1">
      <alignment horizontal="center" wrapText="1"/>
    </xf>
    <xf numFmtId="0" fontId="46" fillId="0" borderId="16" xfId="92" applyFont="1" applyFill="1" applyBorder="1" applyAlignment="1">
      <alignment horizontal="center" wrapText="1"/>
    </xf>
    <xf numFmtId="2" fontId="53" fillId="0" borderId="66" xfId="57" applyNumberFormat="1" applyFont="1" applyFill="1" applyBorder="1" applyAlignment="1">
      <alignment horizontal="center" vertical="center" wrapText="1"/>
    </xf>
    <xf numFmtId="2" fontId="53" fillId="0" borderId="24" xfId="57" applyNumberFormat="1" applyFont="1" applyFill="1" applyBorder="1" applyAlignment="1">
      <alignment horizontal="center" vertical="center" wrapText="1"/>
    </xf>
    <xf numFmtId="2" fontId="53" fillId="0" borderId="16" xfId="57" applyNumberFormat="1" applyFont="1" applyFill="1" applyBorder="1" applyAlignment="1">
      <alignment horizontal="center" vertical="center" wrapText="1"/>
    </xf>
    <xf numFmtId="0" fontId="46" fillId="0" borderId="72" xfId="92" applyFont="1" applyFill="1" applyBorder="1" applyAlignment="1">
      <alignment horizontal="center" vertical="center" wrapText="1"/>
    </xf>
    <xf numFmtId="0" fontId="46" fillId="0" borderId="71" xfId="92" applyFont="1" applyFill="1" applyBorder="1" applyAlignment="1">
      <alignment horizontal="center" vertical="center" wrapText="1"/>
    </xf>
    <xf numFmtId="0" fontId="46" fillId="0" borderId="0" xfId="92" applyFont="1" applyFill="1" applyBorder="1" applyAlignment="1">
      <alignment horizontal="center" vertical="center" wrapText="1"/>
    </xf>
    <xf numFmtId="0" fontId="46" fillId="0" borderId="44" xfId="92" applyFont="1" applyFill="1" applyBorder="1" applyAlignment="1">
      <alignment horizontal="center" vertical="center" wrapText="1"/>
    </xf>
    <xf numFmtId="0" fontId="46" fillId="0" borderId="19" xfId="92" applyFont="1" applyFill="1" applyBorder="1" applyAlignment="1">
      <alignment horizontal="center" vertical="center" wrapText="1"/>
    </xf>
    <xf numFmtId="0" fontId="46" fillId="0" borderId="45" xfId="92" applyFont="1" applyFill="1" applyBorder="1" applyAlignment="1">
      <alignment horizontal="center" vertical="center" wrapText="1"/>
    </xf>
    <xf numFmtId="0" fontId="51" fillId="0" borderId="24" xfId="92" applyNumberFormat="1" applyFont="1" applyFill="1" applyBorder="1" applyAlignment="1">
      <alignment horizontal="center" vertical="center" wrapText="1"/>
    </xf>
    <xf numFmtId="0" fontId="51" fillId="0" borderId="29" xfId="92" applyNumberFormat="1" applyFont="1" applyFill="1" applyBorder="1" applyAlignment="1">
      <alignment horizontal="center" vertical="center" wrapText="1"/>
    </xf>
    <xf numFmtId="4" fontId="46" fillId="0" borderId="25" xfId="92" applyNumberFormat="1" applyFont="1" applyFill="1" applyBorder="1" applyAlignment="1">
      <alignment horizontal="center" vertical="center" wrapText="1"/>
    </xf>
    <xf numFmtId="4" fontId="46" fillId="0" borderId="0" xfId="92" applyNumberFormat="1" applyFont="1" applyFill="1" applyBorder="1" applyAlignment="1">
      <alignment horizontal="center" vertical="center" wrapText="1"/>
    </xf>
    <xf numFmtId="4" fontId="46" fillId="0" borderId="44" xfId="92" applyNumberFormat="1" applyFont="1" applyFill="1" applyBorder="1" applyAlignment="1">
      <alignment horizontal="center" vertical="center" wrapText="1"/>
    </xf>
    <xf numFmtId="49" fontId="46" fillId="0" borderId="67" xfId="92" applyNumberFormat="1" applyFont="1" applyFill="1" applyBorder="1" applyAlignment="1">
      <alignment horizontal="center" vertical="center" wrapText="1"/>
    </xf>
    <xf numFmtId="49" fontId="46" fillId="0" borderId="68" xfId="92" applyNumberFormat="1" applyFont="1" applyFill="1" applyBorder="1" applyAlignment="1">
      <alignment horizontal="center" vertical="center" wrapText="1"/>
    </xf>
    <xf numFmtId="49" fontId="46" fillId="0" borderId="69" xfId="92" applyNumberFormat="1" applyFont="1" applyFill="1" applyBorder="1" applyAlignment="1">
      <alignment horizontal="center" vertical="center" wrapText="1"/>
    </xf>
    <xf numFmtId="0" fontId="46" fillId="0" borderId="25" xfId="92" applyFont="1" applyFill="1" applyBorder="1" applyAlignment="1">
      <alignment horizontal="center" vertical="center" wrapText="1"/>
    </xf>
    <xf numFmtId="0" fontId="46" fillId="0" borderId="22" xfId="92" applyFont="1" applyFill="1" applyBorder="1" applyAlignment="1">
      <alignment horizontal="center" vertical="center" wrapText="1"/>
    </xf>
    <xf numFmtId="4" fontId="46" fillId="0" borderId="70" xfId="92" applyNumberFormat="1" applyFont="1" applyFill="1" applyBorder="1" applyAlignment="1">
      <alignment horizontal="center" vertical="center" wrapText="1"/>
    </xf>
    <xf numFmtId="4" fontId="46" fillId="0" borderId="72" xfId="92" applyNumberFormat="1" applyFont="1" applyFill="1" applyBorder="1" applyAlignment="1">
      <alignment horizontal="center" vertical="center" wrapText="1"/>
    </xf>
    <xf numFmtId="4" fontId="46" fillId="0" borderId="71" xfId="92" applyNumberFormat="1" applyFont="1" applyFill="1" applyBorder="1" applyAlignment="1">
      <alignment horizontal="center" vertical="center" wrapText="1"/>
    </xf>
    <xf numFmtId="0" fontId="51" fillId="0" borderId="66" xfId="92" applyFont="1" applyBorder="1" applyAlignment="1">
      <alignment horizontal="center" vertical="center" wrapText="1"/>
    </xf>
    <xf numFmtId="0" fontId="46" fillId="0" borderId="66" xfId="92" applyNumberFormat="1" applyFont="1" applyFill="1" applyBorder="1" applyAlignment="1">
      <alignment horizontal="center" vertical="center" wrapText="1"/>
    </xf>
    <xf numFmtId="0" fontId="46" fillId="0" borderId="61" xfId="92" applyFont="1" applyFill="1" applyBorder="1" applyAlignment="1">
      <alignment horizontal="center" vertical="center" wrapText="1"/>
    </xf>
    <xf numFmtId="0" fontId="46" fillId="0" borderId="62" xfId="92" applyFont="1" applyFill="1" applyBorder="1" applyAlignment="1">
      <alignment horizontal="center" vertical="center" wrapText="1"/>
    </xf>
    <xf numFmtId="0" fontId="46" fillId="0" borderId="63" xfId="92" applyFont="1" applyFill="1" applyBorder="1" applyAlignment="1">
      <alignment horizontal="center" vertical="center" wrapText="1"/>
    </xf>
    <xf numFmtId="0" fontId="51" fillId="0" borderId="66" xfId="92" applyNumberFormat="1" applyFont="1" applyFill="1" applyBorder="1" applyAlignment="1">
      <alignment horizontal="center" vertical="center" wrapText="1"/>
    </xf>
    <xf numFmtId="0" fontId="46" fillId="0" borderId="67" xfId="92" applyFont="1" applyFill="1" applyBorder="1" applyAlignment="1">
      <alignment horizontal="center" vertical="center" wrapText="1"/>
    </xf>
    <xf numFmtId="0" fontId="46" fillId="0" borderId="69" xfId="92" applyFont="1" applyFill="1" applyBorder="1" applyAlignment="1">
      <alignment horizontal="center" vertical="center" wrapText="1"/>
    </xf>
    <xf numFmtId="4" fontId="46" fillId="0" borderId="60" xfId="92" applyNumberFormat="1" applyFont="1" applyFill="1" applyBorder="1" applyAlignment="1">
      <alignment horizontal="center" vertical="center" wrapText="1"/>
    </xf>
    <xf numFmtId="0" fontId="51" fillId="0" borderId="10" xfId="92" applyFont="1" applyBorder="1" applyAlignment="1">
      <alignment horizontal="left" vertical="center" wrapText="1"/>
    </xf>
    <xf numFmtId="0" fontId="46" fillId="0" borderId="10" xfId="92" applyFont="1" applyFill="1" applyBorder="1" applyAlignment="1">
      <alignment vertical="center" wrapText="1"/>
    </xf>
    <xf numFmtId="49" fontId="46" fillId="0" borderId="17" xfId="92" applyNumberFormat="1" applyFont="1" applyFill="1" applyBorder="1" applyAlignment="1">
      <alignment horizontal="center" vertical="center" wrapText="1"/>
    </xf>
    <xf numFmtId="49" fontId="46" fillId="0" borderId="23" xfId="92" applyNumberFormat="1" applyFont="1" applyFill="1" applyBorder="1" applyAlignment="1">
      <alignment horizontal="center" vertical="center" wrapText="1"/>
    </xf>
    <xf numFmtId="49" fontId="46" fillId="0" borderId="18" xfId="92" applyNumberFormat="1" applyFont="1" applyFill="1" applyBorder="1" applyAlignment="1">
      <alignment horizontal="center" vertical="center" wrapText="1"/>
    </xf>
    <xf numFmtId="49" fontId="46" fillId="0" borderId="22" xfId="92" applyNumberFormat="1" applyFont="1" applyFill="1" applyBorder="1" applyAlignment="1">
      <alignment horizontal="center" vertical="center" wrapText="1"/>
    </xf>
    <xf numFmtId="49" fontId="46" fillId="0" borderId="19" xfId="92" applyNumberFormat="1" applyFont="1" applyFill="1" applyBorder="1" applyAlignment="1">
      <alignment horizontal="center" vertical="center" wrapText="1"/>
    </xf>
    <xf numFmtId="49" fontId="46" fillId="0" borderId="45" xfId="92" applyNumberFormat="1" applyFont="1" applyFill="1" applyBorder="1" applyAlignment="1">
      <alignment horizontal="center" vertical="center" wrapText="1"/>
    </xf>
    <xf numFmtId="0" fontId="51" fillId="0" borderId="14" xfId="92" applyFont="1" applyFill="1" applyBorder="1" applyAlignment="1">
      <alignment horizontal="center" vertical="center"/>
    </xf>
    <xf numFmtId="0" fontId="51" fillId="0" borderId="16" xfId="92" applyFont="1" applyFill="1" applyBorder="1" applyAlignment="1">
      <alignment horizontal="center" vertical="center"/>
    </xf>
    <xf numFmtId="0" fontId="46" fillId="0" borderId="14" xfId="92" applyFont="1" applyFill="1" applyBorder="1" applyAlignment="1">
      <alignment vertical="center" wrapText="1"/>
    </xf>
    <xf numFmtId="0" fontId="46" fillId="0" borderId="16" xfId="92" applyFont="1" applyFill="1" applyBorder="1" applyAlignment="1">
      <alignment vertical="center" wrapText="1"/>
    </xf>
    <xf numFmtId="49" fontId="46" fillId="0" borderId="25" xfId="92" applyNumberFormat="1" applyFont="1" applyFill="1" applyBorder="1" applyAlignment="1">
      <alignment horizontal="center" vertical="center" wrapText="1"/>
    </xf>
    <xf numFmtId="49" fontId="46" fillId="0" borderId="0" xfId="92" applyNumberFormat="1" applyFont="1" applyFill="1" applyBorder="1" applyAlignment="1">
      <alignment horizontal="center" vertical="center" wrapText="1"/>
    </xf>
    <xf numFmtId="49" fontId="46" fillId="0" borderId="44" xfId="92" applyNumberFormat="1" applyFont="1" applyFill="1" applyBorder="1" applyAlignment="1">
      <alignment horizontal="center" vertical="center" wrapText="1"/>
    </xf>
    <xf numFmtId="49" fontId="46" fillId="0" borderId="10" xfId="92" applyNumberFormat="1" applyFont="1" applyFill="1" applyBorder="1" applyAlignment="1">
      <alignment horizontal="center" vertical="center" wrapText="1"/>
    </xf>
    <xf numFmtId="0" fontId="46" fillId="0" borderId="17" xfId="92" applyFont="1" applyFill="1" applyBorder="1" applyAlignment="1">
      <alignment horizontal="center" vertical="center" wrapText="1"/>
    </xf>
    <xf numFmtId="0" fontId="46" fillId="0" borderId="18" xfId="92" applyFont="1" applyFill="1" applyBorder="1" applyAlignment="1">
      <alignment horizontal="center" vertical="center" wrapText="1"/>
    </xf>
    <xf numFmtId="0" fontId="53" fillId="0" borderId="10" xfId="92" applyFont="1" applyFill="1" applyBorder="1" applyAlignment="1">
      <alignment horizontal="center" vertical="center" wrapText="1"/>
    </xf>
    <xf numFmtId="2" fontId="53" fillId="0" borderId="14" xfId="57" applyNumberFormat="1" applyFont="1" applyFill="1" applyBorder="1" applyAlignment="1">
      <alignment horizontal="center" vertical="center" wrapText="1"/>
    </xf>
    <xf numFmtId="0" fontId="46" fillId="0" borderId="23" xfId="92" applyFont="1" applyFill="1" applyBorder="1" applyAlignment="1">
      <alignment horizontal="center" vertical="center" wrapText="1"/>
    </xf>
    <xf numFmtId="0" fontId="51" fillId="0" borderId="0" xfId="92" applyFont="1" applyAlignment="1">
      <alignment horizontal="left" wrapText="1"/>
    </xf>
    <xf numFmtId="9" fontId="69" fillId="0" borderId="20" xfId="101" applyFont="1" applyBorder="1" applyAlignment="1">
      <alignment horizontal="center" vertical="center"/>
    </xf>
    <xf numFmtId="9" fontId="69" fillId="0" borderId="21" xfId="101" applyFont="1" applyBorder="1" applyAlignment="1">
      <alignment horizontal="center" vertical="center"/>
    </xf>
    <xf numFmtId="9" fontId="69" fillId="0" borderId="29" xfId="101" applyFont="1" applyBorder="1" applyAlignment="1">
      <alignment horizontal="center" vertical="center"/>
    </xf>
  </cellXfs>
  <cellStyles count="414">
    <cellStyle name=" 1" xfId="1"/>
    <cellStyle name="_~1613671" xfId="2"/>
    <cellStyle name="_~1613671 2" xfId="203"/>
    <cellStyle name="_~1613671 3" xfId="204"/>
    <cellStyle name="_~1613671 4" xfId="205"/>
    <cellStyle name="_~7644457" xfId="3"/>
    <cellStyle name="_~7644457 2" xfId="206"/>
    <cellStyle name="_~7644457 3" xfId="207"/>
    <cellStyle name="_~7644457 4" xfId="208"/>
    <cellStyle name="_price_der_nov_раб" xfId="4"/>
    <cellStyle name="_price_der_nov_раб_~2260219" xfId="5"/>
    <cellStyle name="_price_der_nov_раб_~2260219 2" xfId="162"/>
    <cellStyle name="_price_der_nov_раб_~2260219_~2131575" xfId="6"/>
    <cellStyle name="_price_der_nov_раб_~2260219_Decra" xfId="7"/>
    <cellStyle name="_price_der_nov_раб_~2260219_Vilpe" xfId="8"/>
    <cellStyle name="_price_der_nov_раб_~2260219_Дилерский прайс-лист 03.03.14 Единый+Q35" xfId="9"/>
    <cellStyle name="_price_der_nov_раб_~2260219_Макет временных" xfId="10"/>
    <cellStyle name="_price_der_nov_раб_~2260219_Прайс полный ассортимент Центр от 09.07" xfId="11"/>
    <cellStyle name="_price_der_nov_раб_~2260219_Розничный прайс-лист 03.03.14" xfId="12"/>
    <cellStyle name="_price_der_nov_раб_~2260219_Розничный прайс-лист 07.04.14" xfId="13"/>
    <cellStyle name="_price_der_nov_раб_~2260219_Цокольные панели Ванштайн" xfId="14"/>
    <cellStyle name="_price_der_nov_раб_~2260219_Цокольные панели Ванштайн 2" xfId="163"/>
    <cellStyle name="_price_der_nov_раб_~6447645" xfId="15"/>
    <cellStyle name="_price_der_nov_раб_GL розничный прайс Краснодар - 03.09.12" xfId="16"/>
    <cellStyle name="_price_der_nov_раб_дилерский прайс - лист 17.02.12 ПИТЕР" xfId="17"/>
    <cellStyle name="_price_der_nov_раб_дилерский прайс - лист 18.04.12" xfId="18"/>
    <cellStyle name="_price_der_nov_раб_Прайс для Краснодара 2" xfId="19"/>
    <cellStyle name="_price_der_nov_раб_Прайс полный ассортимент 22.12.2010  Центр" xfId="20"/>
    <cellStyle name="_price_der_nov_раб_Прайс полный ассортимент от 06.02.12 Одинцово" xfId="21"/>
    <cellStyle name="_price_der_nov_раб_Прайс полный ассортимент от 06.02.12 Центр" xfId="22"/>
    <cellStyle name="_price_der_nov_раб_Прайс полный ассортимент от 19.10.2011 Центр" xfId="23"/>
    <cellStyle name="_price_der_nov_раб_Прайс полный ассортимент СПБ  от 22.08.12 Ворота + фигурный профнастил" xfId="24"/>
    <cellStyle name="_price_der_nov_раб_Прайс полный ассортимент Центр от 01.06.12" xfId="25"/>
    <cellStyle name="_price_der_nov_раб_Прайс полный ассортимент Центр от 06.08.12" xfId="26"/>
    <cellStyle name="_price_der_nov_раб_Прайс полный ассортимент Центр от 22.08.12 Ворота + фигурный профнастил" xfId="27"/>
    <cellStyle name="_price_der_nov_раб_Прайс полный ассортимент Центр от 29.06.12" xfId="28"/>
    <cellStyle name="_Книга2" xfId="29"/>
    <cellStyle name="_Книга2 2" xfId="209"/>
    <cellStyle name="_Книга2 3" xfId="210"/>
    <cellStyle name="_Книга2 4" xfId="211"/>
    <cellStyle name="_лестницы" xfId="30"/>
    <cellStyle name="_лестницы 2" xfId="212"/>
    <cellStyle name="_лестницы 3" xfId="213"/>
    <cellStyle name="_лестницы 4" xfId="214"/>
    <cellStyle name="_прайс-лист розница" xfId="31"/>
    <cellStyle name="_прайс-лист розница 2" xfId="215"/>
    <cellStyle name="_прайс-лист розница 3" xfId="216"/>
    <cellStyle name="_прайс-лист розница 4" xfId="217"/>
    <cellStyle name="-15-1976" xfId="32"/>
    <cellStyle name="-15-1976 2" xfId="218"/>
    <cellStyle name="-15-1976 3" xfId="219"/>
    <cellStyle name="-15-1976 4" xfId="220"/>
    <cellStyle name="20% - Акцент1" xfId="33" builtinId="30" customBuiltin="1"/>
    <cellStyle name="20% - Акцент1 2" xfId="108"/>
    <cellStyle name="20% - Акцент1 2 2" xfId="164"/>
    <cellStyle name="20% - Акцент1 2 3" xfId="221"/>
    <cellStyle name="20% - Акцент1 2 4" xfId="222"/>
    <cellStyle name="20% - Акцент1 3" xfId="165"/>
    <cellStyle name="20% - Акцент2" xfId="34" builtinId="34" customBuiltin="1"/>
    <cellStyle name="20% - Акцент2 2" xfId="109"/>
    <cellStyle name="20% - Акцент2 2 2" xfId="166"/>
    <cellStyle name="20% - Акцент2 2 3" xfId="223"/>
    <cellStyle name="20% - Акцент2 2 4" xfId="224"/>
    <cellStyle name="20% - Акцент2 3" xfId="167"/>
    <cellStyle name="20% - Акцент3" xfId="35" builtinId="38" customBuiltin="1"/>
    <cellStyle name="20% - Акцент3 2" xfId="110"/>
    <cellStyle name="20% - Акцент3 2 2" xfId="168"/>
    <cellStyle name="20% - Акцент3 2 3" xfId="225"/>
    <cellStyle name="20% - Акцент3 2 4" xfId="226"/>
    <cellStyle name="20% - Акцент3 3" xfId="169"/>
    <cellStyle name="20% - Акцент4" xfId="36" builtinId="42" customBuiltin="1"/>
    <cellStyle name="20% - Акцент4 2" xfId="111"/>
    <cellStyle name="20% - Акцент4 2 2" xfId="170"/>
    <cellStyle name="20% - Акцент4 2 3" xfId="227"/>
    <cellStyle name="20% - Акцент4 2 4" xfId="228"/>
    <cellStyle name="20% - Акцент4 3" xfId="171"/>
    <cellStyle name="20% - Акцент5" xfId="37" builtinId="46" customBuiltin="1"/>
    <cellStyle name="20% - Акцент5 2" xfId="112"/>
    <cellStyle name="20% - Акцент5 2 2" xfId="172"/>
    <cellStyle name="20% - Акцент5 2 3" xfId="229"/>
    <cellStyle name="20% - Акцент5 2 4" xfId="230"/>
    <cellStyle name="20% - Акцент5 3" xfId="173"/>
    <cellStyle name="20% - Акцент6" xfId="38" builtinId="50" customBuiltin="1"/>
    <cellStyle name="20% - Акцент6 2" xfId="113"/>
    <cellStyle name="20% - Акцент6 2 2" xfId="174"/>
    <cellStyle name="20% - Акцент6 2 3" xfId="231"/>
    <cellStyle name="20% - Акцент6 2 4" xfId="232"/>
    <cellStyle name="20% - Акцент6 3" xfId="175"/>
    <cellStyle name="40% - Акцент1" xfId="39" builtinId="31" customBuiltin="1"/>
    <cellStyle name="40% - Акцент1 2" xfId="114"/>
    <cellStyle name="40% - Акцент1 2 2" xfId="176"/>
    <cellStyle name="40% - Акцент1 2 3" xfId="233"/>
    <cellStyle name="40% - Акцент1 2 4" xfId="234"/>
    <cellStyle name="40% - Акцент1 3" xfId="177"/>
    <cellStyle name="40% - Акцент2" xfId="40" builtinId="35" customBuiltin="1"/>
    <cellStyle name="40% - Акцент2 2" xfId="115"/>
    <cellStyle name="40% - Акцент2 2 2" xfId="178"/>
    <cellStyle name="40% - Акцент2 2 3" xfId="235"/>
    <cellStyle name="40% - Акцент2 2 4" xfId="236"/>
    <cellStyle name="40% - Акцент2 3" xfId="179"/>
    <cellStyle name="40% - Акцент3" xfId="41" builtinId="39" customBuiltin="1"/>
    <cellStyle name="40% - Акцент3 2" xfId="116"/>
    <cellStyle name="40% - Акцент3 2 2" xfId="180"/>
    <cellStyle name="40% - Акцент3 2 3" xfId="237"/>
    <cellStyle name="40% - Акцент3 2 4" xfId="238"/>
    <cellStyle name="40% - Акцент3 3" xfId="181"/>
    <cellStyle name="40% - Акцент4" xfId="42" builtinId="43" customBuiltin="1"/>
    <cellStyle name="40% - Акцент4 2" xfId="117"/>
    <cellStyle name="40% - Акцент4 2 2" xfId="182"/>
    <cellStyle name="40% - Акцент4 2 3" xfId="239"/>
    <cellStyle name="40% - Акцент4 2 4" xfId="240"/>
    <cellStyle name="40% - Акцент4 3" xfId="183"/>
    <cellStyle name="40% - Акцент5" xfId="43" builtinId="47" customBuiltin="1"/>
    <cellStyle name="40% - Акцент5 2" xfId="118"/>
    <cellStyle name="40% - Акцент5 2 2" xfId="184"/>
    <cellStyle name="40% - Акцент5 2 3" xfId="241"/>
    <cellStyle name="40% - Акцент5 2 4" xfId="242"/>
    <cellStyle name="40% - Акцент5 3" xfId="185"/>
    <cellStyle name="40% - Акцент6" xfId="44" builtinId="51" customBuiltin="1"/>
    <cellStyle name="40% - Акцент6 2" xfId="119"/>
    <cellStyle name="40% - Акцент6 2 2" xfId="186"/>
    <cellStyle name="40% - Акцент6 2 3" xfId="243"/>
    <cellStyle name="40% - Акцент6 2 4" xfId="244"/>
    <cellStyle name="40% - Акцент6 3" xfId="187"/>
    <cellStyle name="60% - Акцент1" xfId="45" builtinId="32" customBuiltin="1"/>
    <cellStyle name="60% - Акцент1 2" xfId="120"/>
    <cellStyle name="60% - Акцент1 2 2" xfId="245"/>
    <cellStyle name="60% - Акцент1 2 3" xfId="246"/>
    <cellStyle name="60% - Акцент1 2 4" xfId="247"/>
    <cellStyle name="60% - Акцент1 3" xfId="248"/>
    <cellStyle name="60% - Акцент2" xfId="46" builtinId="36" customBuiltin="1"/>
    <cellStyle name="60% - Акцент2 2" xfId="121"/>
    <cellStyle name="60% - Акцент2 2 2" xfId="249"/>
    <cellStyle name="60% - Акцент2 2 3" xfId="250"/>
    <cellStyle name="60% - Акцент2 2 4" xfId="251"/>
    <cellStyle name="60% - Акцент2 3" xfId="252"/>
    <cellStyle name="60% - Акцент3" xfId="47" builtinId="40" customBuiltin="1"/>
    <cellStyle name="60% - Акцент3 2" xfId="122"/>
    <cellStyle name="60% - Акцент3 2 2" xfId="253"/>
    <cellStyle name="60% - Акцент3 2 3" xfId="254"/>
    <cellStyle name="60% - Акцент3 2 4" xfId="255"/>
    <cellStyle name="60% - Акцент3 3" xfId="256"/>
    <cellStyle name="60% - Акцент4" xfId="48" builtinId="44" customBuiltin="1"/>
    <cellStyle name="60% - Акцент4 2" xfId="123"/>
    <cellStyle name="60% - Акцент4 2 2" xfId="257"/>
    <cellStyle name="60% - Акцент4 2 3" xfId="258"/>
    <cellStyle name="60% - Акцент4 2 4" xfId="259"/>
    <cellStyle name="60% - Акцент4 3" xfId="260"/>
    <cellStyle name="60% - Акцент5" xfId="49" builtinId="48" customBuiltin="1"/>
    <cellStyle name="60% - Акцент5 2" xfId="124"/>
    <cellStyle name="60% - Акцент5 2 2" xfId="261"/>
    <cellStyle name="60% - Акцент5 2 3" xfId="262"/>
    <cellStyle name="60% - Акцент5 2 4" xfId="263"/>
    <cellStyle name="60% - Акцент5 3" xfId="264"/>
    <cellStyle name="60% - Акцент6" xfId="50" builtinId="52" customBuiltin="1"/>
    <cellStyle name="60% - Акцент6 2" xfId="125"/>
    <cellStyle name="60% - Акцент6 2 2" xfId="265"/>
    <cellStyle name="60% - Акцент6 2 3" xfId="266"/>
    <cellStyle name="60% - Акцент6 2 4" xfId="267"/>
    <cellStyle name="60% - Акцент6 3" xfId="268"/>
    <cellStyle name="Euro" xfId="51"/>
    <cellStyle name="Euro 2" xfId="188"/>
    <cellStyle name="Euro 3" xfId="269"/>
    <cellStyle name="Euro 4" xfId="270"/>
    <cellStyle name="Excel Built-in Normal" xfId="271"/>
    <cellStyle name="Normal 2" xfId="272"/>
    <cellStyle name="Normal_Sheet1" xfId="52"/>
    <cellStyle name="Standaard 10" xfId="53"/>
    <cellStyle name="Standaard 10 2" xfId="273"/>
    <cellStyle name="Standaard 10 3" xfId="274"/>
    <cellStyle name="Standaard 10 4" xfId="275"/>
    <cellStyle name="Standaard 11" xfId="54"/>
    <cellStyle name="Standaard 11 2" xfId="276"/>
    <cellStyle name="Standaard 11 3" xfId="277"/>
    <cellStyle name="Standaard 11 4" xfId="278"/>
    <cellStyle name="Standaard 12" xfId="55"/>
    <cellStyle name="Standaard 12 2" xfId="279"/>
    <cellStyle name="Standaard 12 3" xfId="280"/>
    <cellStyle name="Standaard 12 4" xfId="281"/>
    <cellStyle name="Standaard 2" xfId="56"/>
    <cellStyle name="Standaard 2 2" xfId="282"/>
    <cellStyle name="Standaard 2 3" xfId="283"/>
    <cellStyle name="Standaard 2 4" xfId="284"/>
    <cellStyle name="Standaard 3" xfId="57"/>
    <cellStyle name="Standaard 3 2" xfId="285"/>
    <cellStyle name="Standaard 3 3" xfId="286"/>
    <cellStyle name="Standaard 3 4" xfId="287"/>
    <cellStyle name="Standaard 4" xfId="58"/>
    <cellStyle name="Standaard 4 2" xfId="288"/>
    <cellStyle name="Standaard 4 3" xfId="289"/>
    <cellStyle name="Standaard 4 4" xfId="290"/>
    <cellStyle name="Standaard 5" xfId="59"/>
    <cellStyle name="Standaard 5 2" xfId="291"/>
    <cellStyle name="Standaard 5 3" xfId="292"/>
    <cellStyle name="Standaard 5 4" xfId="293"/>
    <cellStyle name="Standaard 6" xfId="60"/>
    <cellStyle name="Standaard 6 2" xfId="294"/>
    <cellStyle name="Standaard 6 3" xfId="295"/>
    <cellStyle name="Standaard 6 4" xfId="296"/>
    <cellStyle name="Standaard 7" xfId="61"/>
    <cellStyle name="Standaard 7 2" xfId="297"/>
    <cellStyle name="Standaard 7 3" xfId="298"/>
    <cellStyle name="Standaard 7 4" xfId="299"/>
    <cellStyle name="Standaard 8" xfId="62"/>
    <cellStyle name="Standaard 8 2" xfId="300"/>
    <cellStyle name="Standaard 8 3" xfId="301"/>
    <cellStyle name="Standaard 8 4" xfId="302"/>
    <cellStyle name="Standaard 9" xfId="63"/>
    <cellStyle name="Standaard 9 2" xfId="303"/>
    <cellStyle name="Standaard 9 3" xfId="304"/>
    <cellStyle name="Standaard 9 4" xfId="305"/>
    <cellStyle name="Акцент1" xfId="64" builtinId="29" customBuiltin="1"/>
    <cellStyle name="Акцент1 2" xfId="126"/>
    <cellStyle name="Акцент1 2 2" xfId="306"/>
    <cellStyle name="Акцент1 2 3" xfId="307"/>
    <cellStyle name="Акцент1 2 4" xfId="308"/>
    <cellStyle name="Акцент1 3" xfId="309"/>
    <cellStyle name="Акцент2" xfId="65" builtinId="33" customBuiltin="1"/>
    <cellStyle name="Акцент2 2" xfId="127"/>
    <cellStyle name="Акцент2 2 2" xfId="310"/>
    <cellStyle name="Акцент2 2 3" xfId="311"/>
    <cellStyle name="Акцент2 2 4" xfId="312"/>
    <cellStyle name="Акцент2 3" xfId="313"/>
    <cellStyle name="Акцент3" xfId="66" builtinId="37" customBuiltin="1"/>
    <cellStyle name="Акцент3 2" xfId="128"/>
    <cellStyle name="Акцент3 2 2" xfId="314"/>
    <cellStyle name="Акцент3 2 3" xfId="315"/>
    <cellStyle name="Акцент3 2 4" xfId="316"/>
    <cellStyle name="Акцент3 3" xfId="317"/>
    <cellStyle name="Акцент4" xfId="67" builtinId="41" customBuiltin="1"/>
    <cellStyle name="Акцент4 2" xfId="129"/>
    <cellStyle name="Акцент4 2 2" xfId="318"/>
    <cellStyle name="Акцент4 2 3" xfId="319"/>
    <cellStyle name="Акцент4 2 4" xfId="320"/>
    <cellStyle name="Акцент4 3" xfId="321"/>
    <cellStyle name="Акцент5" xfId="68" builtinId="45" customBuiltin="1"/>
    <cellStyle name="Акцент5 2" xfId="130"/>
    <cellStyle name="Акцент5 2 2" xfId="322"/>
    <cellStyle name="Акцент5 2 3" xfId="323"/>
    <cellStyle name="Акцент5 2 4" xfId="324"/>
    <cellStyle name="Акцент5 3" xfId="325"/>
    <cellStyle name="Акцент6" xfId="69" builtinId="49" customBuiltin="1"/>
    <cellStyle name="Акцент6 2" xfId="131"/>
    <cellStyle name="Акцент6 2 2" xfId="326"/>
    <cellStyle name="Акцент6 2 3" xfId="327"/>
    <cellStyle name="Акцент6 2 4" xfId="328"/>
    <cellStyle name="Акцент6 3" xfId="329"/>
    <cellStyle name="Ввод " xfId="70" builtinId="20" customBuiltin="1"/>
    <cellStyle name="Ввод  2" xfId="132"/>
    <cellStyle name="Ввод  2 2" xfId="330"/>
    <cellStyle name="Ввод  2 3" xfId="331"/>
    <cellStyle name="Ввод  2 4" xfId="332"/>
    <cellStyle name="Ввод  3" xfId="333"/>
    <cellStyle name="Вывод" xfId="71" builtinId="21" customBuiltin="1"/>
    <cellStyle name="Вывод 2" xfId="133"/>
    <cellStyle name="Вывод 2 2" xfId="334"/>
    <cellStyle name="Вывод 2 3" xfId="335"/>
    <cellStyle name="Вывод 2 4" xfId="336"/>
    <cellStyle name="Вывод 3" xfId="337"/>
    <cellStyle name="Вычисление" xfId="72" builtinId="22" customBuiltin="1"/>
    <cellStyle name="Вычисление 2" xfId="134"/>
    <cellStyle name="Вычисление 2 2" xfId="338"/>
    <cellStyle name="Вычисление 2 3" xfId="339"/>
    <cellStyle name="Вычисление 2 4" xfId="340"/>
    <cellStyle name="Вычисление 3" xfId="341"/>
    <cellStyle name="Гиперссылка 2" xfId="135"/>
    <cellStyle name="Гиперссылка 3" xfId="342"/>
    <cellStyle name="Денежный 2" xfId="343"/>
    <cellStyle name="Заголовок 1" xfId="73" builtinId="16" customBuiltin="1"/>
    <cellStyle name="Заголовок 1 2" xfId="136"/>
    <cellStyle name="Заголовок 1 3" xfId="344"/>
    <cellStyle name="Заголовок 2" xfId="74" builtinId="17" customBuiltin="1"/>
    <cellStyle name="Заголовок 2 2" xfId="137"/>
    <cellStyle name="Заголовок 2 3" xfId="345"/>
    <cellStyle name="Заголовок 3" xfId="75" builtinId="18" customBuiltin="1"/>
    <cellStyle name="Заголовок 3 2" xfId="138"/>
    <cellStyle name="Заголовок 3 3" xfId="346"/>
    <cellStyle name="Заголовок 4" xfId="76" builtinId="19" customBuiltin="1"/>
    <cellStyle name="Заголовок 4 2" xfId="139"/>
    <cellStyle name="Заголовок 4 3" xfId="347"/>
    <cellStyle name="Заголовок сводной таблицы" xfId="348"/>
    <cellStyle name="Итог" xfId="77" builtinId="25" customBuiltin="1"/>
    <cellStyle name="Итог 2" xfId="140"/>
    <cellStyle name="Итог 3" xfId="349"/>
    <cellStyle name="Категория сводной таблицы" xfId="350"/>
    <cellStyle name="Контрольная ячейка" xfId="78" builtinId="23" customBuiltin="1"/>
    <cellStyle name="Контрольная ячейка 2" xfId="141"/>
    <cellStyle name="Контрольная ячейка 2 2" xfId="351"/>
    <cellStyle name="Контрольная ячейка 2 3" xfId="352"/>
    <cellStyle name="Контрольная ячейка 2 4" xfId="353"/>
    <cellStyle name="Контрольная ячейка 3" xfId="354"/>
    <cellStyle name="Название" xfId="79" builtinId="15" customBuiltin="1"/>
    <cellStyle name="Название 2" xfId="142"/>
    <cellStyle name="Название 3" xfId="355"/>
    <cellStyle name="Нейтральный" xfId="80" builtinId="28" customBuiltin="1"/>
    <cellStyle name="Нейтральный 2" xfId="143"/>
    <cellStyle name="Нейтральный 2 2" xfId="356"/>
    <cellStyle name="Нейтральный 2 3" xfId="357"/>
    <cellStyle name="Нейтральный 2 4" xfId="358"/>
    <cellStyle name="Нейтральный 3" xfId="359"/>
    <cellStyle name="Обычный" xfId="0" builtinId="0"/>
    <cellStyle name="Обычный 10" xfId="81"/>
    <cellStyle name="Обычный 10 2" xfId="189"/>
    <cellStyle name="Обычный 11" xfId="144"/>
    <cellStyle name="Обычный 11 2" xfId="360"/>
    <cellStyle name="Обычный 11 3" xfId="202"/>
    <cellStyle name="Обычный 12" xfId="145"/>
    <cellStyle name="Обычный 13" xfId="158"/>
    <cellStyle name="Обычный 14" xfId="160"/>
    <cellStyle name="Обычный 14 2" xfId="361"/>
    <cellStyle name="Обычный 15" xfId="161"/>
    <cellStyle name="Обычный 16" xfId="190"/>
    <cellStyle name="Обычный 17" xfId="191"/>
    <cellStyle name="Обычный 18" xfId="192"/>
    <cellStyle name="Обычный 19" xfId="193"/>
    <cellStyle name="Обычный 2" xfId="82"/>
    <cellStyle name="Обычный 2 2" xfId="146"/>
    <cellStyle name="Обычный 2 2 2" xfId="83"/>
    <cellStyle name="Обычный 2 3" xfId="362"/>
    <cellStyle name="Обычный 2 4" xfId="363"/>
    <cellStyle name="Обычный 2_Аквасток 1" xfId="84"/>
    <cellStyle name="Обычный 20" xfId="194"/>
    <cellStyle name="Обычный 21" xfId="364"/>
    <cellStyle name="Обычный 22" xfId="365"/>
    <cellStyle name="Обычный 23" xfId="366"/>
    <cellStyle name="Обычный 24" xfId="367"/>
    <cellStyle name="Обычный 26" xfId="368"/>
    <cellStyle name="Обычный 3" xfId="85"/>
    <cellStyle name="Обычный 3 2" xfId="369"/>
    <cellStyle name="Обычный 30" xfId="370"/>
    <cellStyle name="Обычный 4" xfId="86"/>
    <cellStyle name="Обычный 4 2" xfId="371"/>
    <cellStyle name="Обычный 4 3" xfId="372"/>
    <cellStyle name="Обычный 4 4" xfId="373"/>
    <cellStyle name="Обычный 4_~2131575" xfId="87"/>
    <cellStyle name="Обычный 5" xfId="88"/>
    <cellStyle name="Обычный 6" xfId="89"/>
    <cellStyle name="Обычный 6 2" xfId="374"/>
    <cellStyle name="Обычный 6 3" xfId="375"/>
    <cellStyle name="Обычный 6 4" xfId="376"/>
    <cellStyle name="Обычный 6 5" xfId="377"/>
    <cellStyle name="Обычный 7" xfId="90"/>
    <cellStyle name="Обычный 7 2" xfId="195"/>
    <cellStyle name="Обычный 8" xfId="91"/>
    <cellStyle name="Обычный 8 2" xfId="196"/>
    <cellStyle name="Обычный 9" xfId="147"/>
    <cellStyle name="Обычный 9 10" xfId="378"/>
    <cellStyle name="Обычный 9 2" xfId="148"/>
    <cellStyle name="Обычный 9 3" xfId="149"/>
    <cellStyle name="Обычный 9 4" xfId="197"/>
    <cellStyle name="Обычный 9 5" xfId="198"/>
    <cellStyle name="Обычный 9 6" xfId="199"/>
    <cellStyle name="Обычный 9 7" xfId="379"/>
    <cellStyle name="Обычный 9 8" xfId="380"/>
    <cellStyle name="Обычный 9 9" xfId="381"/>
    <cellStyle name="Обычный_Locinox_28_03_2013" xfId="92"/>
    <cellStyle name="Обычный_Лист1_Дилерский прайс-лист 02.04.13djhjnj" xfId="93"/>
    <cellStyle name="Обычный_Лист1_Дилерский прайс-лист 13.08.13" xfId="94"/>
    <cellStyle name="Обычный_Лист1_Дилерский прайс-лист 13.11.121 2" xfId="159"/>
    <cellStyle name="Обычный_Лист1_Книга2" xfId="95"/>
    <cellStyle name="Обычный_прайс дилерский _14.06.11" xfId="96"/>
    <cellStyle name="Плохой" xfId="97" builtinId="27" customBuiltin="1"/>
    <cellStyle name="Плохой 2" xfId="150"/>
    <cellStyle name="Плохой 2 2" xfId="382"/>
    <cellStyle name="Плохой 2 3" xfId="383"/>
    <cellStyle name="Плохой 2 4" xfId="384"/>
    <cellStyle name="Плохой 3" xfId="385"/>
    <cellStyle name="Пояснение" xfId="98" builtinId="53" customBuiltin="1"/>
    <cellStyle name="Пояснение 2" xfId="151"/>
    <cellStyle name="Пояснение 3" xfId="386"/>
    <cellStyle name="Примечание" xfId="99" builtinId="10" customBuiltin="1"/>
    <cellStyle name="Примечание 2" xfId="152"/>
    <cellStyle name="Примечание 2 2" xfId="387"/>
    <cellStyle name="Примечание 2 3" xfId="388"/>
    <cellStyle name="Примечание 2 4" xfId="389"/>
    <cellStyle name="Примечание 3" xfId="390"/>
    <cellStyle name="Процентный" xfId="100" builtinId="5"/>
    <cellStyle name="Процентный 2" xfId="101"/>
    <cellStyle name="Процентный 2 2" xfId="391"/>
    <cellStyle name="Процентный 2 3" xfId="392"/>
    <cellStyle name="Процентный 2 4" xfId="393"/>
    <cellStyle name="Процентный 3" xfId="153"/>
    <cellStyle name="Процентный 3 2" xfId="394"/>
    <cellStyle name="Процентный 3 3" xfId="395"/>
    <cellStyle name="Процентный 3 4" xfId="396"/>
    <cellStyle name="Процентный 4" xfId="397"/>
    <cellStyle name="Процентный 4 2" xfId="398"/>
    <cellStyle name="Процентный 4 3" xfId="399"/>
    <cellStyle name="Процентный 5" xfId="400"/>
    <cellStyle name="Процентный 6" xfId="401"/>
    <cellStyle name="Связанная ячейка" xfId="102" builtinId="24" customBuiltin="1"/>
    <cellStyle name="Связанная ячейка 2" xfId="154"/>
    <cellStyle name="Связанная ячейка 3" xfId="402"/>
    <cellStyle name="Стиль 1" xfId="103"/>
    <cellStyle name="Текст предупреждения" xfId="104" builtinId="11" customBuiltin="1"/>
    <cellStyle name="Текст предупреждения 2" xfId="155"/>
    <cellStyle name="Текст предупреждения 3" xfId="403"/>
    <cellStyle name="Финансовый" xfId="105" builtinId="3"/>
    <cellStyle name="Финансовый 2" xfId="106"/>
    <cellStyle name="Финансовый 2 2" xfId="404"/>
    <cellStyle name="Финансовый 2 3" xfId="405"/>
    <cellStyle name="Финансовый 2 4" xfId="406"/>
    <cellStyle name="Финансовый 3" xfId="156"/>
    <cellStyle name="Финансовый 3 2" xfId="407"/>
    <cellStyle name="Финансовый 3 3" xfId="408"/>
    <cellStyle name="Финансовый 4" xfId="200"/>
    <cellStyle name="Финансовый 4 2" xfId="201"/>
    <cellStyle name="Финансовый 4 3" xfId="409"/>
    <cellStyle name="Хороший" xfId="107" builtinId="26" customBuiltin="1"/>
    <cellStyle name="Хороший 2" xfId="157"/>
    <cellStyle name="Хороший 2 2" xfId="410"/>
    <cellStyle name="Хороший 2 3" xfId="411"/>
    <cellStyle name="Хороший 2 4" xfId="412"/>
    <cellStyle name="Хороший 3" xfId="4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jpeg"/><Relationship Id="rId18" Type="http://schemas.openxmlformats.org/officeDocument/2006/relationships/image" Target="../media/image20.png"/><Relationship Id="rId26" Type="http://schemas.openxmlformats.org/officeDocument/2006/relationships/image" Target="../media/image28.jpe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34" Type="http://schemas.openxmlformats.org/officeDocument/2006/relationships/image" Target="../media/image36.png"/><Relationship Id="rId7" Type="http://schemas.openxmlformats.org/officeDocument/2006/relationships/image" Target="../media/image9.png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5" Type="http://schemas.openxmlformats.org/officeDocument/2006/relationships/image" Target="../media/image27.jpeg"/><Relationship Id="rId33" Type="http://schemas.openxmlformats.org/officeDocument/2006/relationships/image" Target="../media/image35.pn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29" Type="http://schemas.openxmlformats.org/officeDocument/2006/relationships/image" Target="../media/image31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png"/><Relationship Id="rId37" Type="http://schemas.openxmlformats.org/officeDocument/2006/relationships/image" Target="../media/image2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1.jpe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31" Type="http://schemas.openxmlformats.org/officeDocument/2006/relationships/image" Target="../media/image33.png"/><Relationship Id="rId4" Type="http://schemas.openxmlformats.org/officeDocument/2006/relationships/image" Target="../media/image6.jpeg"/><Relationship Id="rId9" Type="http://schemas.openxmlformats.org/officeDocument/2006/relationships/image" Target="../media/image11.emf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0.jpeg"/><Relationship Id="rId21" Type="http://schemas.openxmlformats.org/officeDocument/2006/relationships/image" Target="../media/image58.jpe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17" Type="http://schemas.openxmlformats.org/officeDocument/2006/relationships/image" Target="../media/image54.jpeg"/><Relationship Id="rId2" Type="http://schemas.openxmlformats.org/officeDocument/2006/relationships/image" Target="../media/image39.jpeg"/><Relationship Id="rId16" Type="http://schemas.openxmlformats.org/officeDocument/2006/relationships/image" Target="../media/image53.jpeg"/><Relationship Id="rId20" Type="http://schemas.openxmlformats.org/officeDocument/2006/relationships/image" Target="../media/image57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jpeg"/><Relationship Id="rId15" Type="http://schemas.openxmlformats.org/officeDocument/2006/relationships/image" Target="../media/image52.png"/><Relationship Id="rId23" Type="http://schemas.openxmlformats.org/officeDocument/2006/relationships/image" Target="../media/image2.jpeg"/><Relationship Id="rId10" Type="http://schemas.openxmlformats.org/officeDocument/2006/relationships/image" Target="../media/image47.png"/><Relationship Id="rId19" Type="http://schemas.openxmlformats.org/officeDocument/2006/relationships/image" Target="../media/image56.jpeg"/><Relationship Id="rId4" Type="http://schemas.openxmlformats.org/officeDocument/2006/relationships/image" Target="../media/image41.jpeg"/><Relationship Id="rId9" Type="http://schemas.openxmlformats.org/officeDocument/2006/relationships/image" Target="../media/image46.png"/><Relationship Id="rId14" Type="http://schemas.openxmlformats.org/officeDocument/2006/relationships/image" Target="../media/image51.png"/><Relationship Id="rId22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0.jpeg"/><Relationship Id="rId3" Type="http://schemas.openxmlformats.org/officeDocument/2006/relationships/image" Target="../media/image61.emf"/><Relationship Id="rId7" Type="http://schemas.openxmlformats.org/officeDocument/2006/relationships/image" Target="../media/image65.png"/><Relationship Id="rId12" Type="http://schemas.openxmlformats.org/officeDocument/2006/relationships/image" Target="../media/image28.jpeg"/><Relationship Id="rId2" Type="http://schemas.openxmlformats.org/officeDocument/2006/relationships/image" Target="../media/image60.png"/><Relationship Id="rId1" Type="http://schemas.openxmlformats.org/officeDocument/2006/relationships/image" Target="../media/image59.jpeg"/><Relationship Id="rId6" Type="http://schemas.openxmlformats.org/officeDocument/2006/relationships/image" Target="../media/image64.png"/><Relationship Id="rId11" Type="http://schemas.openxmlformats.org/officeDocument/2006/relationships/image" Target="../media/image69.png"/><Relationship Id="rId5" Type="http://schemas.openxmlformats.org/officeDocument/2006/relationships/image" Target="../media/image63.jpeg"/><Relationship Id="rId15" Type="http://schemas.openxmlformats.org/officeDocument/2006/relationships/image" Target="../media/image2.jpeg"/><Relationship Id="rId10" Type="http://schemas.openxmlformats.org/officeDocument/2006/relationships/image" Target="../media/image68.png"/><Relationship Id="rId4" Type="http://schemas.openxmlformats.org/officeDocument/2006/relationships/image" Target="../media/image62.jpeg"/><Relationship Id="rId9" Type="http://schemas.openxmlformats.org/officeDocument/2006/relationships/image" Target="../media/image67.png"/><Relationship Id="rId1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image" Target="../media/image73.jpeg"/><Relationship Id="rId7" Type="http://schemas.openxmlformats.org/officeDocument/2006/relationships/image" Target="../media/image1.jpe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6" Type="http://schemas.openxmlformats.org/officeDocument/2006/relationships/image" Target="../media/image76.jpeg"/><Relationship Id="rId5" Type="http://schemas.openxmlformats.org/officeDocument/2006/relationships/image" Target="../media/image75.jpeg"/><Relationship Id="rId4" Type="http://schemas.openxmlformats.org/officeDocument/2006/relationships/image" Target="../media/image7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13" Type="http://schemas.openxmlformats.org/officeDocument/2006/relationships/image" Target="../media/image90.png"/><Relationship Id="rId3" Type="http://schemas.openxmlformats.org/officeDocument/2006/relationships/image" Target="../media/image80.jpeg"/><Relationship Id="rId7" Type="http://schemas.openxmlformats.org/officeDocument/2006/relationships/image" Target="../media/image84.jpeg"/><Relationship Id="rId12" Type="http://schemas.openxmlformats.org/officeDocument/2006/relationships/image" Target="../media/image89.jpeg"/><Relationship Id="rId2" Type="http://schemas.openxmlformats.org/officeDocument/2006/relationships/image" Target="../media/image79.jpeg"/><Relationship Id="rId16" Type="http://schemas.openxmlformats.org/officeDocument/2006/relationships/image" Target="../media/image2.jpeg"/><Relationship Id="rId1" Type="http://schemas.openxmlformats.org/officeDocument/2006/relationships/image" Target="../media/image78.jpeg"/><Relationship Id="rId6" Type="http://schemas.openxmlformats.org/officeDocument/2006/relationships/image" Target="../media/image83.png"/><Relationship Id="rId11" Type="http://schemas.openxmlformats.org/officeDocument/2006/relationships/image" Target="../media/image88.jpeg"/><Relationship Id="rId5" Type="http://schemas.openxmlformats.org/officeDocument/2006/relationships/image" Target="../media/image82.jpeg"/><Relationship Id="rId15" Type="http://schemas.openxmlformats.org/officeDocument/2006/relationships/image" Target="../media/image1.jpeg"/><Relationship Id="rId10" Type="http://schemas.openxmlformats.org/officeDocument/2006/relationships/image" Target="../media/image87.jpeg"/><Relationship Id="rId4" Type="http://schemas.openxmlformats.org/officeDocument/2006/relationships/image" Target="../media/image81.jpeg"/><Relationship Id="rId9" Type="http://schemas.openxmlformats.org/officeDocument/2006/relationships/image" Target="../media/image86.png"/><Relationship Id="rId14" Type="http://schemas.openxmlformats.org/officeDocument/2006/relationships/image" Target="../media/image9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03.jpeg"/><Relationship Id="rId18" Type="http://schemas.openxmlformats.org/officeDocument/2006/relationships/image" Target="../media/image108.png"/><Relationship Id="rId3" Type="http://schemas.openxmlformats.org/officeDocument/2006/relationships/image" Target="../media/image94.png"/><Relationship Id="rId21" Type="http://schemas.openxmlformats.org/officeDocument/2006/relationships/image" Target="../media/image76.jpeg"/><Relationship Id="rId7" Type="http://schemas.openxmlformats.org/officeDocument/2006/relationships/image" Target="../media/image97.png"/><Relationship Id="rId12" Type="http://schemas.openxmlformats.org/officeDocument/2006/relationships/image" Target="../media/image102.png"/><Relationship Id="rId17" Type="http://schemas.openxmlformats.org/officeDocument/2006/relationships/image" Target="../media/image107.png"/><Relationship Id="rId2" Type="http://schemas.openxmlformats.org/officeDocument/2006/relationships/image" Target="../media/image93.png"/><Relationship Id="rId16" Type="http://schemas.openxmlformats.org/officeDocument/2006/relationships/image" Target="../media/image106.png"/><Relationship Id="rId20" Type="http://schemas.openxmlformats.org/officeDocument/2006/relationships/image" Target="../media/image75.jpeg"/><Relationship Id="rId1" Type="http://schemas.openxmlformats.org/officeDocument/2006/relationships/image" Target="../media/image92.png"/><Relationship Id="rId6" Type="http://schemas.openxmlformats.org/officeDocument/2006/relationships/image" Target="../media/image96.png"/><Relationship Id="rId11" Type="http://schemas.openxmlformats.org/officeDocument/2006/relationships/image" Target="../media/image101.png"/><Relationship Id="rId24" Type="http://schemas.openxmlformats.org/officeDocument/2006/relationships/image" Target="../media/image2.jpeg"/><Relationship Id="rId5" Type="http://schemas.openxmlformats.org/officeDocument/2006/relationships/image" Target="../media/image74.png"/><Relationship Id="rId15" Type="http://schemas.openxmlformats.org/officeDocument/2006/relationships/image" Target="../media/image105.png"/><Relationship Id="rId23" Type="http://schemas.openxmlformats.org/officeDocument/2006/relationships/image" Target="../media/image1.jpeg"/><Relationship Id="rId10" Type="http://schemas.openxmlformats.org/officeDocument/2006/relationships/image" Target="../media/image100.png"/><Relationship Id="rId19" Type="http://schemas.openxmlformats.org/officeDocument/2006/relationships/image" Target="../media/image109.png"/><Relationship Id="rId4" Type="http://schemas.openxmlformats.org/officeDocument/2006/relationships/image" Target="../media/image95.png"/><Relationship Id="rId9" Type="http://schemas.openxmlformats.org/officeDocument/2006/relationships/image" Target="../media/image99.png"/><Relationship Id="rId14" Type="http://schemas.openxmlformats.org/officeDocument/2006/relationships/image" Target="../media/image104.png"/><Relationship Id="rId22" Type="http://schemas.openxmlformats.org/officeDocument/2006/relationships/image" Target="../media/image1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3</xdr:row>
      <xdr:rowOff>133350</xdr:rowOff>
    </xdr:from>
    <xdr:to>
      <xdr:col>1</xdr:col>
      <xdr:colOff>1085850</xdr:colOff>
      <xdr:row>7</xdr:row>
      <xdr:rowOff>102870</xdr:rowOff>
    </xdr:to>
    <xdr:pic>
      <xdr:nvPicPr>
        <xdr:cNvPr id="3" name="Рисунок 9" descr="N:\01_ПРОДАЖИ\СИСТЕМЫ ОГРАЖДЕНИЙ\14_LOGO PZS\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9151" t="33759" r="9332" b="31212"/>
        <a:stretch>
          <a:fillRect/>
        </a:stretch>
      </xdr:blipFill>
      <xdr:spPr bwMode="auto">
        <a:xfrm>
          <a:off x="647700" y="647700"/>
          <a:ext cx="407670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2457450</xdr:colOff>
      <xdr:row>3</xdr:row>
      <xdr:rowOff>114300</xdr:rowOff>
    </xdr:from>
    <xdr:to>
      <xdr:col>7</xdr:col>
      <xdr:colOff>5124450</xdr:colOff>
      <xdr:row>9</xdr:row>
      <xdr:rowOff>57150</xdr:rowOff>
    </xdr:to>
    <xdr:pic>
      <xdr:nvPicPr>
        <xdr:cNvPr id="4" name="Рисунок 3" descr="C:\Users\v.kudinov\Desktop\defi   today\TEL Mail PZ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992850" y="628650"/>
          <a:ext cx="26670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4</xdr:row>
      <xdr:rowOff>38100</xdr:rowOff>
    </xdr:from>
    <xdr:to>
      <xdr:col>1</xdr:col>
      <xdr:colOff>1276350</xdr:colOff>
      <xdr:row>8</xdr:row>
      <xdr:rowOff>7620</xdr:rowOff>
    </xdr:to>
    <xdr:pic>
      <xdr:nvPicPr>
        <xdr:cNvPr id="3" name="Рисунок 9" descr="N:\01_ПРОДАЖИ\СИСТЕМЫ ОГРАЖДЕНИЙ\14_LOGO PZS\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9151" t="33759" r="9332" b="31212"/>
        <a:stretch>
          <a:fillRect/>
        </a:stretch>
      </xdr:blipFill>
      <xdr:spPr bwMode="auto">
        <a:xfrm>
          <a:off x="514350" y="723900"/>
          <a:ext cx="407670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2400300</xdr:colOff>
      <xdr:row>2</xdr:row>
      <xdr:rowOff>114300</xdr:rowOff>
    </xdr:from>
    <xdr:to>
      <xdr:col>7</xdr:col>
      <xdr:colOff>4895850</xdr:colOff>
      <xdr:row>8</xdr:row>
      <xdr:rowOff>57150</xdr:rowOff>
    </xdr:to>
    <xdr:pic>
      <xdr:nvPicPr>
        <xdr:cNvPr id="4" name="Рисунок 3" descr="C:\Users\v.kudinov\Desktop\defi   today\TEL Mail PZ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421350" y="457200"/>
          <a:ext cx="2495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593726</xdr:colOff>
      <xdr:row>22</xdr:row>
      <xdr:rowOff>174624</xdr:rowOff>
    </xdr:from>
    <xdr:to>
      <xdr:col>0</xdr:col>
      <xdr:colOff>1841968</xdr:colOff>
      <xdr:row>34</xdr:row>
      <xdr:rowOff>72157</xdr:rowOff>
    </xdr:to>
    <xdr:pic>
      <xdr:nvPicPr>
        <xdr:cNvPr id="3" name="Picture 140" descr="Рисунок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726" y="5238749"/>
          <a:ext cx="1248242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62</xdr:row>
      <xdr:rowOff>47625</xdr:rowOff>
    </xdr:from>
    <xdr:to>
      <xdr:col>0</xdr:col>
      <xdr:colOff>1409700</xdr:colOff>
      <xdr:row>62</xdr:row>
      <xdr:rowOff>447675</xdr:rowOff>
    </xdr:to>
    <xdr:pic>
      <xdr:nvPicPr>
        <xdr:cNvPr id="4" name="Picture 143" descr="Рисунок3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6300" y="18573750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908050</xdr:colOff>
      <xdr:row>74</xdr:row>
      <xdr:rowOff>57150</xdr:rowOff>
    </xdr:from>
    <xdr:to>
      <xdr:col>0</xdr:col>
      <xdr:colOff>1517650</xdr:colOff>
      <xdr:row>74</xdr:row>
      <xdr:rowOff>581025</xdr:rowOff>
    </xdr:to>
    <xdr:pic>
      <xdr:nvPicPr>
        <xdr:cNvPr id="5" name="Picture 146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8050" y="25965150"/>
          <a:ext cx="609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542924</xdr:colOff>
      <xdr:row>76</xdr:row>
      <xdr:rowOff>54372</xdr:rowOff>
    </xdr:from>
    <xdr:to>
      <xdr:col>0</xdr:col>
      <xdr:colOff>1794841</xdr:colOff>
      <xdr:row>77</xdr:row>
      <xdr:rowOff>523875</xdr:rowOff>
    </xdr:to>
    <xdr:pic>
      <xdr:nvPicPr>
        <xdr:cNvPr id="6" name="Picture 155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2924" y="27295872"/>
          <a:ext cx="1251917" cy="1199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1041401</xdr:colOff>
      <xdr:row>75</xdr:row>
      <xdr:rowOff>41275</xdr:rowOff>
    </xdr:from>
    <xdr:to>
      <xdr:col>0</xdr:col>
      <xdr:colOff>1428751</xdr:colOff>
      <xdr:row>75</xdr:row>
      <xdr:rowOff>638439</xdr:rowOff>
    </xdr:to>
    <xdr:pic>
      <xdr:nvPicPr>
        <xdr:cNvPr id="7" name="Picture 156" descr="Рисунок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1401" y="27028775"/>
          <a:ext cx="387350" cy="597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660399</xdr:colOff>
      <xdr:row>72</xdr:row>
      <xdr:rowOff>57150</xdr:rowOff>
    </xdr:from>
    <xdr:to>
      <xdr:col>0</xdr:col>
      <xdr:colOff>1896998</xdr:colOff>
      <xdr:row>72</xdr:row>
      <xdr:rowOff>635000</xdr:rowOff>
    </xdr:to>
    <xdr:pic>
      <xdr:nvPicPr>
        <xdr:cNvPr id="8" name="Picture 174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0399" y="25076150"/>
          <a:ext cx="1236599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517525</xdr:colOff>
      <xdr:row>95</xdr:row>
      <xdr:rowOff>41275</xdr:rowOff>
    </xdr:from>
    <xdr:to>
      <xdr:col>0</xdr:col>
      <xdr:colOff>1908175</xdr:colOff>
      <xdr:row>95</xdr:row>
      <xdr:rowOff>660400</xdr:rowOff>
    </xdr:to>
    <xdr:pic>
      <xdr:nvPicPr>
        <xdr:cNvPr id="9" name="Picture 234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7525" y="37061775"/>
          <a:ext cx="13906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71</xdr:row>
      <xdr:rowOff>31750</xdr:rowOff>
    </xdr:from>
    <xdr:to>
      <xdr:col>0</xdr:col>
      <xdr:colOff>1647825</xdr:colOff>
      <xdr:row>71</xdr:row>
      <xdr:rowOff>565150</xdr:rowOff>
    </xdr:to>
    <xdr:pic>
      <xdr:nvPicPr>
        <xdr:cNvPr id="10" name="Picture 235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5825" y="24399875"/>
          <a:ext cx="762000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387349</xdr:colOff>
      <xdr:row>94</xdr:row>
      <xdr:rowOff>60324</xdr:rowOff>
    </xdr:from>
    <xdr:to>
      <xdr:col>0</xdr:col>
      <xdr:colOff>2143125</xdr:colOff>
      <xdr:row>94</xdr:row>
      <xdr:rowOff>622172</xdr:rowOff>
    </xdr:to>
    <xdr:pic>
      <xdr:nvPicPr>
        <xdr:cNvPr id="1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7349" y="36350574"/>
          <a:ext cx="1755776" cy="561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739775</xdr:colOff>
      <xdr:row>65</xdr:row>
      <xdr:rowOff>31750</xdr:rowOff>
    </xdr:from>
    <xdr:to>
      <xdr:col>0</xdr:col>
      <xdr:colOff>1491336</xdr:colOff>
      <xdr:row>65</xdr:row>
      <xdr:rowOff>539749</xdr:rowOff>
    </xdr:to>
    <xdr:pic>
      <xdr:nvPicPr>
        <xdr:cNvPr id="12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39775" y="19986625"/>
          <a:ext cx="751561" cy="507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228599</xdr:colOff>
      <xdr:row>84</xdr:row>
      <xdr:rowOff>72801</xdr:rowOff>
    </xdr:from>
    <xdr:to>
      <xdr:col>0</xdr:col>
      <xdr:colOff>2190750</xdr:colOff>
      <xdr:row>88</xdr:row>
      <xdr:rowOff>71228</xdr:rowOff>
    </xdr:to>
    <xdr:pic>
      <xdr:nvPicPr>
        <xdr:cNvPr id="13" name="Picture 34" descr="СББ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8599" y="33203926"/>
          <a:ext cx="1962151" cy="1152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454025</xdr:colOff>
      <xdr:row>89</xdr:row>
      <xdr:rowOff>41275</xdr:rowOff>
    </xdr:from>
    <xdr:to>
      <xdr:col>0</xdr:col>
      <xdr:colOff>1844009</xdr:colOff>
      <xdr:row>91</xdr:row>
      <xdr:rowOff>152978</xdr:rowOff>
    </xdr:to>
    <xdr:pic>
      <xdr:nvPicPr>
        <xdr:cNvPr id="14" name="Picture 35" descr="ПББ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4025" y="32553275"/>
          <a:ext cx="1389984" cy="6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946151</xdr:colOff>
      <xdr:row>73</xdr:row>
      <xdr:rowOff>31751</xdr:rowOff>
    </xdr:from>
    <xdr:to>
      <xdr:col>0</xdr:col>
      <xdr:colOff>1651001</xdr:colOff>
      <xdr:row>73</xdr:row>
      <xdr:rowOff>593952</xdr:rowOff>
    </xdr:to>
    <xdr:pic>
      <xdr:nvPicPr>
        <xdr:cNvPr id="16" name="Picture 37" descr="огр_0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46151" y="25717501"/>
          <a:ext cx="704850" cy="562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1060450</xdr:colOff>
      <xdr:row>66</xdr:row>
      <xdr:rowOff>44450</xdr:rowOff>
    </xdr:from>
    <xdr:to>
      <xdr:col>0</xdr:col>
      <xdr:colOff>1412875</xdr:colOff>
      <xdr:row>66</xdr:row>
      <xdr:rowOff>667971</xdr:rowOff>
    </xdr:to>
    <xdr:pic>
      <xdr:nvPicPr>
        <xdr:cNvPr id="17" name="Picture 926" descr="L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60450" y="21697950"/>
          <a:ext cx="352425" cy="623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67</xdr:row>
      <xdr:rowOff>34925</xdr:rowOff>
    </xdr:from>
    <xdr:to>
      <xdr:col>0</xdr:col>
      <xdr:colOff>1381125</xdr:colOff>
      <xdr:row>67</xdr:row>
      <xdr:rowOff>608602</xdr:rowOff>
    </xdr:to>
    <xdr:pic>
      <xdr:nvPicPr>
        <xdr:cNvPr id="18" name="Picture 927" descr="V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90575" y="21323300"/>
          <a:ext cx="590550" cy="573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730250</xdr:colOff>
      <xdr:row>64</xdr:row>
      <xdr:rowOff>44450</xdr:rowOff>
    </xdr:from>
    <xdr:to>
      <xdr:col>0</xdr:col>
      <xdr:colOff>1548965</xdr:colOff>
      <xdr:row>64</xdr:row>
      <xdr:rowOff>619125</xdr:rowOff>
    </xdr:to>
    <xdr:pic>
      <xdr:nvPicPr>
        <xdr:cNvPr id="19" name="Picture 931" descr="Желе_00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0250" y="19316700"/>
          <a:ext cx="818715" cy="57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584201</xdr:colOff>
      <xdr:row>63</xdr:row>
      <xdr:rowOff>41276</xdr:rowOff>
    </xdr:from>
    <xdr:to>
      <xdr:col>0</xdr:col>
      <xdr:colOff>1726929</xdr:colOff>
      <xdr:row>63</xdr:row>
      <xdr:rowOff>476250</xdr:rowOff>
    </xdr:to>
    <xdr:pic>
      <xdr:nvPicPr>
        <xdr:cNvPr id="20" name="Picture 9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84201" y="18805526"/>
          <a:ext cx="1142728" cy="434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936625</xdr:colOff>
      <xdr:row>58</xdr:row>
      <xdr:rowOff>150894</xdr:rowOff>
    </xdr:from>
    <xdr:to>
      <xdr:col>0</xdr:col>
      <xdr:colOff>1524000</xdr:colOff>
      <xdr:row>58</xdr:row>
      <xdr:rowOff>479426</xdr:rowOff>
    </xdr:to>
    <xdr:pic>
      <xdr:nvPicPr>
        <xdr:cNvPr id="2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36625" y="16105269"/>
          <a:ext cx="587375" cy="32853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59</xdr:row>
      <xdr:rowOff>50800</xdr:rowOff>
    </xdr:from>
    <xdr:to>
      <xdr:col>0</xdr:col>
      <xdr:colOff>1171575</xdr:colOff>
      <xdr:row>59</xdr:row>
      <xdr:rowOff>479425</xdr:rowOff>
    </xdr:to>
    <xdr:pic>
      <xdr:nvPicPr>
        <xdr:cNvPr id="2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16560800"/>
          <a:ext cx="77152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1308101</xdr:colOff>
      <xdr:row>59</xdr:row>
      <xdr:rowOff>34926</xdr:rowOff>
    </xdr:from>
    <xdr:to>
      <xdr:col>0</xdr:col>
      <xdr:colOff>1796193</xdr:colOff>
      <xdr:row>59</xdr:row>
      <xdr:rowOff>508000</xdr:rowOff>
    </xdr:to>
    <xdr:pic>
      <xdr:nvPicPr>
        <xdr:cNvPr id="24" name="Рисунок 37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08101" y="16544926"/>
          <a:ext cx="488092" cy="473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1577975</xdr:colOff>
      <xdr:row>58</xdr:row>
      <xdr:rowOff>69850</xdr:rowOff>
    </xdr:from>
    <xdr:to>
      <xdr:col>0</xdr:col>
      <xdr:colOff>2082800</xdr:colOff>
      <xdr:row>58</xdr:row>
      <xdr:rowOff>488950</xdr:rowOff>
    </xdr:to>
    <xdr:pic>
      <xdr:nvPicPr>
        <xdr:cNvPr id="25" name="Рисунок 38" descr="хомут угловой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77975" y="16024225"/>
          <a:ext cx="5048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311150</xdr:colOff>
      <xdr:row>58</xdr:row>
      <xdr:rowOff>28575</xdr:rowOff>
    </xdr:from>
    <xdr:to>
      <xdr:col>0</xdr:col>
      <xdr:colOff>773037</xdr:colOff>
      <xdr:row>58</xdr:row>
      <xdr:rowOff>476250</xdr:rowOff>
    </xdr:to>
    <xdr:pic>
      <xdr:nvPicPr>
        <xdr:cNvPr id="26" name="Рисунок 39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1150" y="15982950"/>
          <a:ext cx="461887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955677</xdr:colOff>
      <xdr:row>54</xdr:row>
      <xdr:rowOff>44451</xdr:rowOff>
    </xdr:from>
    <xdr:to>
      <xdr:col>0</xdr:col>
      <xdr:colOff>1399360</xdr:colOff>
      <xdr:row>54</xdr:row>
      <xdr:rowOff>508000</xdr:rowOff>
    </xdr:to>
    <xdr:pic>
      <xdr:nvPicPr>
        <xdr:cNvPr id="28" name="Рисунок 24" descr="IMG_399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5677" y="13744576"/>
          <a:ext cx="443683" cy="46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825500</xdr:colOff>
      <xdr:row>55</xdr:row>
      <xdr:rowOff>63500</xdr:rowOff>
    </xdr:from>
    <xdr:to>
      <xdr:col>0</xdr:col>
      <xdr:colOff>1444625</xdr:colOff>
      <xdr:row>55</xdr:row>
      <xdr:rowOff>529665</xdr:rowOff>
    </xdr:to>
    <xdr:pic>
      <xdr:nvPicPr>
        <xdr:cNvPr id="29" name="Рисунок 23" descr="скоба+саморез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25500" y="14414500"/>
          <a:ext cx="619125" cy="466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123888</xdr:colOff>
      <xdr:row>47</xdr:row>
      <xdr:rowOff>0</xdr:rowOff>
    </xdr:from>
    <xdr:to>
      <xdr:col>0</xdr:col>
      <xdr:colOff>2365375</xdr:colOff>
      <xdr:row>49</xdr:row>
      <xdr:rowOff>117334</xdr:rowOff>
    </xdr:to>
    <xdr:pic>
      <xdr:nvPicPr>
        <xdr:cNvPr id="31" name="Рисунок 30" descr="столб 51 RAL600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3888" y="11239500"/>
          <a:ext cx="2241487" cy="83170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50</xdr:row>
      <xdr:rowOff>63499</xdr:rowOff>
    </xdr:from>
    <xdr:to>
      <xdr:col>0</xdr:col>
      <xdr:colOff>1969861</xdr:colOff>
      <xdr:row>51</xdr:row>
      <xdr:rowOff>285750</xdr:rowOff>
    </xdr:to>
    <xdr:pic>
      <xdr:nvPicPr>
        <xdr:cNvPr id="32" name="Рисунок 31" descr="укосина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1" y="12414249"/>
          <a:ext cx="1493610" cy="603251"/>
        </a:xfrm>
        <a:prstGeom prst="rect">
          <a:avLst/>
        </a:prstGeom>
      </xdr:spPr>
    </xdr:pic>
    <xdr:clientData/>
  </xdr:twoCellAnchor>
  <xdr:twoCellAnchor editAs="oneCell">
    <xdr:from>
      <xdr:col>0</xdr:col>
      <xdr:colOff>692150</xdr:colOff>
      <xdr:row>57</xdr:row>
      <xdr:rowOff>25400</xdr:rowOff>
    </xdr:from>
    <xdr:to>
      <xdr:col>0</xdr:col>
      <xdr:colOff>1619054</xdr:colOff>
      <xdr:row>57</xdr:row>
      <xdr:rowOff>523875</xdr:rowOff>
    </xdr:to>
    <xdr:pic>
      <xdr:nvPicPr>
        <xdr:cNvPr id="33" name="Рисунок 32" descr="крепление для столба 5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92150" y="15424150"/>
          <a:ext cx="926904" cy="498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61</xdr:row>
      <xdr:rowOff>63500</xdr:rowOff>
    </xdr:from>
    <xdr:to>
      <xdr:col>0</xdr:col>
      <xdr:colOff>1381125</xdr:colOff>
      <xdr:row>61</xdr:row>
      <xdr:rowOff>590677</xdr:rowOff>
    </xdr:to>
    <xdr:pic>
      <xdr:nvPicPr>
        <xdr:cNvPr id="34" name="Рисунок 33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00" y="17668875"/>
          <a:ext cx="428625" cy="527177"/>
        </a:xfrm>
        <a:prstGeom prst="rect">
          <a:avLst/>
        </a:prstGeom>
      </xdr:spPr>
    </xdr:pic>
    <xdr:clientData/>
  </xdr:twoCellAnchor>
  <xdr:twoCellAnchor editAs="oneCell">
    <xdr:from>
      <xdr:col>0</xdr:col>
      <xdr:colOff>992890</xdr:colOff>
      <xdr:row>68</xdr:row>
      <xdr:rowOff>49546</xdr:rowOff>
    </xdr:from>
    <xdr:to>
      <xdr:col>0</xdr:col>
      <xdr:colOff>1203209</xdr:colOff>
      <xdr:row>69</xdr:row>
      <xdr:rowOff>440167</xdr:rowOff>
    </xdr:to>
    <xdr:pic>
      <xdr:nvPicPr>
        <xdr:cNvPr id="35" name="Рисунок 34" descr="Наконечник прямой_801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2034787">
          <a:off x="992890" y="21988796"/>
          <a:ext cx="210319" cy="94624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714374</xdr:colOff>
      <xdr:row>92</xdr:row>
      <xdr:rowOff>142873</xdr:rowOff>
    </xdr:from>
    <xdr:to>
      <xdr:col>0</xdr:col>
      <xdr:colOff>1603375</xdr:colOff>
      <xdr:row>93</xdr:row>
      <xdr:rowOff>349249</xdr:rowOff>
    </xdr:to>
    <xdr:pic>
      <xdr:nvPicPr>
        <xdr:cNvPr id="36" name="Picture 36" descr="Струна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14374" y="37210998"/>
          <a:ext cx="889001" cy="889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78</xdr:row>
      <xdr:rowOff>47626</xdr:rowOff>
    </xdr:from>
    <xdr:to>
      <xdr:col>0</xdr:col>
      <xdr:colOff>1492250</xdr:colOff>
      <xdr:row>78</xdr:row>
      <xdr:rowOff>665240</xdr:rowOff>
    </xdr:to>
    <xdr:pic>
      <xdr:nvPicPr>
        <xdr:cNvPr id="37" name="Рисунок 36" descr="Основание столба_усиленное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5" y="29130626"/>
          <a:ext cx="682625" cy="617614"/>
        </a:xfrm>
        <a:prstGeom prst="rect">
          <a:avLst/>
        </a:prstGeom>
      </xdr:spPr>
    </xdr:pic>
    <xdr:clientData/>
  </xdr:twoCellAnchor>
  <xdr:twoCellAnchor editAs="oneCell">
    <xdr:from>
      <xdr:col>0</xdr:col>
      <xdr:colOff>682626</xdr:colOff>
      <xdr:row>60</xdr:row>
      <xdr:rowOff>47625</xdr:rowOff>
    </xdr:from>
    <xdr:to>
      <xdr:col>0</xdr:col>
      <xdr:colOff>1497136</xdr:colOff>
      <xdr:row>60</xdr:row>
      <xdr:rowOff>508000</xdr:rowOff>
    </xdr:to>
    <xdr:pic>
      <xdr:nvPicPr>
        <xdr:cNvPr id="38" name="Рисунок 37" descr="крепление хомут 62х55 для наконечника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82626" y="17351375"/>
          <a:ext cx="81451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530369</xdr:colOff>
      <xdr:row>79</xdr:row>
      <xdr:rowOff>201913</xdr:rowOff>
    </xdr:from>
    <xdr:to>
      <xdr:col>0</xdr:col>
      <xdr:colOff>1804940</xdr:colOff>
      <xdr:row>80</xdr:row>
      <xdr:rowOff>291147</xdr:rowOff>
    </xdr:to>
    <xdr:pic>
      <xdr:nvPicPr>
        <xdr:cNvPr id="40" name="Рисунок 39" descr="винтовая опора без фланца 1,2м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17499243">
          <a:off x="845225" y="28970057"/>
          <a:ext cx="644859" cy="1274571"/>
        </a:xfrm>
        <a:prstGeom prst="rect">
          <a:avLst/>
        </a:prstGeom>
      </xdr:spPr>
    </xdr:pic>
    <xdr:clientData/>
  </xdr:twoCellAnchor>
  <xdr:twoCellAnchor editAs="oneCell">
    <xdr:from>
      <xdr:col>0</xdr:col>
      <xdr:colOff>481316</xdr:colOff>
      <xdr:row>81</xdr:row>
      <xdr:rowOff>214198</xdr:rowOff>
    </xdr:from>
    <xdr:to>
      <xdr:col>0</xdr:col>
      <xdr:colOff>1741425</xdr:colOff>
      <xdr:row>82</xdr:row>
      <xdr:rowOff>261822</xdr:rowOff>
    </xdr:to>
    <xdr:pic>
      <xdr:nvPicPr>
        <xdr:cNvPr id="41" name="Рисунок 40" descr="винтовая опора на фланце 1,5м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17389743">
          <a:off x="825621" y="30080018"/>
          <a:ext cx="571499" cy="1260109"/>
        </a:xfrm>
        <a:prstGeom prst="rect">
          <a:avLst/>
        </a:prstGeom>
      </xdr:spPr>
    </xdr:pic>
    <xdr:clientData/>
  </xdr:twoCellAnchor>
  <xdr:twoCellAnchor editAs="oneCell">
    <xdr:from>
      <xdr:col>0</xdr:col>
      <xdr:colOff>904992</xdr:colOff>
      <xdr:row>83</xdr:row>
      <xdr:rowOff>47626</xdr:rowOff>
    </xdr:from>
    <xdr:to>
      <xdr:col>0</xdr:col>
      <xdr:colOff>1394211</xdr:colOff>
      <xdr:row>83</xdr:row>
      <xdr:rowOff>746125</xdr:rowOff>
    </xdr:to>
    <xdr:pic>
      <xdr:nvPicPr>
        <xdr:cNvPr id="42" name="Рисунок 41" descr="Приспособление для винтовых опор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04992" y="32146876"/>
          <a:ext cx="489219" cy="698499"/>
        </a:xfrm>
        <a:prstGeom prst="rect">
          <a:avLst/>
        </a:prstGeom>
      </xdr:spPr>
    </xdr:pic>
    <xdr:clientData/>
  </xdr:twoCellAnchor>
  <xdr:twoCellAnchor editAs="oneCell">
    <xdr:from>
      <xdr:col>0</xdr:col>
      <xdr:colOff>968375</xdr:colOff>
      <xdr:row>70</xdr:row>
      <xdr:rowOff>17992</xdr:rowOff>
    </xdr:from>
    <xdr:to>
      <xdr:col>0</xdr:col>
      <xdr:colOff>1285875</xdr:colOff>
      <xdr:row>70</xdr:row>
      <xdr:rowOff>651593</xdr:rowOff>
    </xdr:to>
    <xdr:pic>
      <xdr:nvPicPr>
        <xdr:cNvPr id="43" name="Рисунок 42" descr="наконечник для уличного освещения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68375" y="24386117"/>
          <a:ext cx="317500" cy="633601"/>
        </a:xfrm>
        <a:prstGeom prst="rect">
          <a:avLst/>
        </a:prstGeom>
      </xdr:spPr>
    </xdr:pic>
    <xdr:clientData/>
  </xdr:twoCellAnchor>
  <xdr:twoCellAnchor editAs="oneCell">
    <xdr:from>
      <xdr:col>0</xdr:col>
      <xdr:colOff>888999</xdr:colOff>
      <xdr:row>56</xdr:row>
      <xdr:rowOff>31750</xdr:rowOff>
    </xdr:from>
    <xdr:to>
      <xdr:col>0</xdr:col>
      <xdr:colOff>1389062</xdr:colOff>
      <xdr:row>56</xdr:row>
      <xdr:rowOff>498475</xdr:rowOff>
    </xdr:to>
    <xdr:pic>
      <xdr:nvPicPr>
        <xdr:cNvPr id="1505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88999" y="14890750"/>
          <a:ext cx="500063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2</xdr:row>
      <xdr:rowOff>228600</xdr:rowOff>
    </xdr:from>
    <xdr:to>
      <xdr:col>1</xdr:col>
      <xdr:colOff>2038350</xdr:colOff>
      <xdr:row>5</xdr:row>
      <xdr:rowOff>26670</xdr:rowOff>
    </xdr:to>
    <xdr:pic>
      <xdr:nvPicPr>
        <xdr:cNvPr id="44" name="Рисунок 9" descr="N:\01_ПРОДАЖИ\СИСТЕМЫ ОГРАЖДЕНИЙ\14_LOGO PZS\3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9151" t="33759" r="9332" b="31212"/>
        <a:stretch>
          <a:fillRect/>
        </a:stretch>
      </xdr:blipFill>
      <xdr:spPr bwMode="auto">
        <a:xfrm>
          <a:off x="571500" y="800100"/>
          <a:ext cx="407670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2057400</xdr:colOff>
      <xdr:row>2</xdr:row>
      <xdr:rowOff>76200</xdr:rowOff>
    </xdr:from>
    <xdr:to>
      <xdr:col>7</xdr:col>
      <xdr:colOff>2057400</xdr:colOff>
      <xdr:row>5</xdr:row>
      <xdr:rowOff>190500</xdr:rowOff>
    </xdr:to>
    <xdr:pic>
      <xdr:nvPicPr>
        <xdr:cNvPr id="45" name="Рисунок 44" descr="C:\Users\v.kudinov\Desktop\defi   today\TEL Mail PZ.jpg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8268950" y="647700"/>
          <a:ext cx="2495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48</xdr:row>
      <xdr:rowOff>9525</xdr:rowOff>
    </xdr:from>
    <xdr:to>
      <xdr:col>0</xdr:col>
      <xdr:colOff>800100</xdr:colOff>
      <xdr:row>48</xdr:row>
      <xdr:rowOff>476250</xdr:rowOff>
    </xdr:to>
    <xdr:pic>
      <xdr:nvPicPr>
        <xdr:cNvPr id="274435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15344775"/>
          <a:ext cx="3143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62</xdr:row>
      <xdr:rowOff>200025</xdr:rowOff>
    </xdr:from>
    <xdr:to>
      <xdr:col>0</xdr:col>
      <xdr:colOff>1152525</xdr:colOff>
      <xdr:row>63</xdr:row>
      <xdr:rowOff>142874</xdr:rowOff>
    </xdr:to>
    <xdr:pic>
      <xdr:nvPicPr>
        <xdr:cNvPr id="274436" name="Picture 277" descr="Рисунок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21164550"/>
          <a:ext cx="1047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61</xdr:row>
      <xdr:rowOff>57150</xdr:rowOff>
    </xdr:from>
    <xdr:to>
      <xdr:col>0</xdr:col>
      <xdr:colOff>1104900</xdr:colOff>
      <xdr:row>61</xdr:row>
      <xdr:rowOff>447675</xdr:rowOff>
    </xdr:to>
    <xdr:pic>
      <xdr:nvPicPr>
        <xdr:cNvPr id="274437" name="Picture 278" descr="Рисунок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9550" y="20478750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60</xdr:row>
      <xdr:rowOff>38100</xdr:rowOff>
    </xdr:from>
    <xdr:to>
      <xdr:col>0</xdr:col>
      <xdr:colOff>1038225</xdr:colOff>
      <xdr:row>60</xdr:row>
      <xdr:rowOff>476250</xdr:rowOff>
    </xdr:to>
    <xdr:pic>
      <xdr:nvPicPr>
        <xdr:cNvPr id="274438" name="Picture 279" descr="Рисунок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50" y="19935825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28</xdr:row>
      <xdr:rowOff>9525</xdr:rowOff>
    </xdr:from>
    <xdr:to>
      <xdr:col>0</xdr:col>
      <xdr:colOff>1247775</xdr:colOff>
      <xdr:row>29</xdr:row>
      <xdr:rowOff>228599</xdr:rowOff>
    </xdr:to>
    <xdr:pic>
      <xdr:nvPicPr>
        <xdr:cNvPr id="274439" name="Picture 285" descr="IMG_533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11229975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30</xdr:row>
      <xdr:rowOff>28575</xdr:rowOff>
    </xdr:from>
    <xdr:to>
      <xdr:col>0</xdr:col>
      <xdr:colOff>1143000</xdr:colOff>
      <xdr:row>33</xdr:row>
      <xdr:rowOff>190500</xdr:rowOff>
    </xdr:to>
    <xdr:pic>
      <xdr:nvPicPr>
        <xdr:cNvPr id="27444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" y="11763375"/>
          <a:ext cx="8382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34</xdr:row>
      <xdr:rowOff>28575</xdr:rowOff>
    </xdr:from>
    <xdr:to>
      <xdr:col>0</xdr:col>
      <xdr:colOff>1343025</xdr:colOff>
      <xdr:row>39</xdr:row>
      <xdr:rowOff>85726</xdr:rowOff>
    </xdr:to>
    <xdr:pic>
      <xdr:nvPicPr>
        <xdr:cNvPr id="27444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0525" y="12792075"/>
          <a:ext cx="9525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49</xdr:row>
      <xdr:rowOff>9525</xdr:rowOff>
    </xdr:from>
    <xdr:to>
      <xdr:col>0</xdr:col>
      <xdr:colOff>885825</xdr:colOff>
      <xdr:row>49</xdr:row>
      <xdr:rowOff>476250</xdr:rowOff>
    </xdr:to>
    <xdr:pic>
      <xdr:nvPicPr>
        <xdr:cNvPr id="274442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15849600"/>
          <a:ext cx="4572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50</xdr:row>
      <xdr:rowOff>9525</xdr:rowOff>
    </xdr:from>
    <xdr:to>
      <xdr:col>0</xdr:col>
      <xdr:colOff>771525</xdr:colOff>
      <xdr:row>51</xdr:row>
      <xdr:rowOff>228602</xdr:rowOff>
    </xdr:to>
    <xdr:pic>
      <xdr:nvPicPr>
        <xdr:cNvPr id="274443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6725" y="16354425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52</xdr:row>
      <xdr:rowOff>19050</xdr:rowOff>
    </xdr:from>
    <xdr:to>
      <xdr:col>0</xdr:col>
      <xdr:colOff>1057275</xdr:colOff>
      <xdr:row>53</xdr:row>
      <xdr:rowOff>228599</xdr:rowOff>
    </xdr:to>
    <xdr:pic>
      <xdr:nvPicPr>
        <xdr:cNvPr id="274444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7650" y="16878300"/>
          <a:ext cx="809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54</xdr:row>
      <xdr:rowOff>19050</xdr:rowOff>
    </xdr:from>
    <xdr:to>
      <xdr:col>0</xdr:col>
      <xdr:colOff>857250</xdr:colOff>
      <xdr:row>54</xdr:row>
      <xdr:rowOff>466725</xdr:rowOff>
    </xdr:to>
    <xdr:pic>
      <xdr:nvPicPr>
        <xdr:cNvPr id="274445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2900" y="17392650"/>
          <a:ext cx="5143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55</xdr:row>
      <xdr:rowOff>19050</xdr:rowOff>
    </xdr:from>
    <xdr:to>
      <xdr:col>0</xdr:col>
      <xdr:colOff>847725</xdr:colOff>
      <xdr:row>55</xdr:row>
      <xdr:rowOff>485775</xdr:rowOff>
    </xdr:to>
    <xdr:pic>
      <xdr:nvPicPr>
        <xdr:cNvPr id="274446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17897475"/>
          <a:ext cx="6953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56</xdr:row>
      <xdr:rowOff>19050</xdr:rowOff>
    </xdr:from>
    <xdr:to>
      <xdr:col>0</xdr:col>
      <xdr:colOff>752475</xdr:colOff>
      <xdr:row>56</xdr:row>
      <xdr:rowOff>485775</xdr:rowOff>
    </xdr:to>
    <xdr:pic>
      <xdr:nvPicPr>
        <xdr:cNvPr id="274447" name="Picture 294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0025" y="18402300"/>
          <a:ext cx="552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57</xdr:row>
      <xdr:rowOff>19050</xdr:rowOff>
    </xdr:from>
    <xdr:to>
      <xdr:col>0</xdr:col>
      <xdr:colOff>771525</xdr:colOff>
      <xdr:row>57</xdr:row>
      <xdr:rowOff>485775</xdr:rowOff>
    </xdr:to>
    <xdr:pic>
      <xdr:nvPicPr>
        <xdr:cNvPr id="274448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0975" y="18907125"/>
          <a:ext cx="5905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58</xdr:row>
      <xdr:rowOff>19050</xdr:rowOff>
    </xdr:from>
    <xdr:to>
      <xdr:col>0</xdr:col>
      <xdr:colOff>790575</xdr:colOff>
      <xdr:row>58</xdr:row>
      <xdr:rowOff>485775</xdr:rowOff>
    </xdr:to>
    <xdr:pic>
      <xdr:nvPicPr>
        <xdr:cNvPr id="274449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66700" y="19411950"/>
          <a:ext cx="5238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40</xdr:row>
      <xdr:rowOff>85725</xdr:rowOff>
    </xdr:from>
    <xdr:to>
      <xdr:col>0</xdr:col>
      <xdr:colOff>1590675</xdr:colOff>
      <xdr:row>43</xdr:row>
      <xdr:rowOff>152400</xdr:rowOff>
    </xdr:to>
    <xdr:pic>
      <xdr:nvPicPr>
        <xdr:cNvPr id="274450" name="Picture 260" descr="Рисунок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14392275"/>
          <a:ext cx="15049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19</xdr:row>
      <xdr:rowOff>76200</xdr:rowOff>
    </xdr:from>
    <xdr:to>
      <xdr:col>0</xdr:col>
      <xdr:colOff>1323975</xdr:colOff>
      <xdr:row>20</xdr:row>
      <xdr:rowOff>504825</xdr:rowOff>
    </xdr:to>
    <xdr:pic>
      <xdr:nvPicPr>
        <xdr:cNvPr id="274452" name="Picture 282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76225" y="5915025"/>
          <a:ext cx="1047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23</xdr:row>
      <xdr:rowOff>28575</xdr:rowOff>
    </xdr:from>
    <xdr:to>
      <xdr:col>0</xdr:col>
      <xdr:colOff>1362075</xdr:colOff>
      <xdr:row>24</xdr:row>
      <xdr:rowOff>523875</xdr:rowOff>
    </xdr:to>
    <xdr:pic>
      <xdr:nvPicPr>
        <xdr:cNvPr id="274453" name="Picture 283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" y="7743825"/>
          <a:ext cx="11430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25</xdr:row>
      <xdr:rowOff>38100</xdr:rowOff>
    </xdr:from>
    <xdr:to>
      <xdr:col>0</xdr:col>
      <xdr:colOff>1485900</xdr:colOff>
      <xdr:row>25</xdr:row>
      <xdr:rowOff>1219200</xdr:rowOff>
    </xdr:to>
    <xdr:pic>
      <xdr:nvPicPr>
        <xdr:cNvPr id="274454" name="Picture 284" descr="Рисунок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7650" y="8858250"/>
          <a:ext cx="12382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13</xdr:row>
      <xdr:rowOff>47625</xdr:rowOff>
    </xdr:from>
    <xdr:to>
      <xdr:col>0</xdr:col>
      <xdr:colOff>1419225</xdr:colOff>
      <xdr:row>16</xdr:row>
      <xdr:rowOff>390525</xdr:rowOff>
    </xdr:to>
    <xdr:pic>
      <xdr:nvPicPr>
        <xdr:cNvPr id="274455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9550" y="3914775"/>
          <a:ext cx="12096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59</xdr:row>
      <xdr:rowOff>51955</xdr:rowOff>
    </xdr:from>
    <xdr:to>
      <xdr:col>0</xdr:col>
      <xdr:colOff>1537049</xdr:colOff>
      <xdr:row>59</xdr:row>
      <xdr:rowOff>381001</xdr:rowOff>
    </xdr:to>
    <xdr:pic>
      <xdr:nvPicPr>
        <xdr:cNvPr id="24" name="Рисунок 23" descr="dds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" y="20037137"/>
          <a:ext cx="1537048" cy="32904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2</xdr:row>
      <xdr:rowOff>91440</xdr:rowOff>
    </xdr:from>
    <xdr:to>
      <xdr:col>2</xdr:col>
      <xdr:colOff>861060</xdr:colOff>
      <xdr:row>6</xdr:row>
      <xdr:rowOff>76200</xdr:rowOff>
    </xdr:to>
    <xdr:pic>
      <xdr:nvPicPr>
        <xdr:cNvPr id="25" name="Рисунок 9" descr="N:\01_ПРОДАЖИ\СИСТЕМЫ ОГРАЖДЕНИЙ\14_LOGO PZS\3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9151" t="33759" r="9332" b="31212"/>
        <a:stretch>
          <a:fillRect/>
        </a:stretch>
      </xdr:blipFill>
      <xdr:spPr bwMode="auto">
        <a:xfrm>
          <a:off x="396240" y="426720"/>
          <a:ext cx="407670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1</xdr:row>
      <xdr:rowOff>60960</xdr:rowOff>
    </xdr:from>
    <xdr:to>
      <xdr:col>15</xdr:col>
      <xdr:colOff>361950</xdr:colOff>
      <xdr:row>7</xdr:row>
      <xdr:rowOff>26670</xdr:rowOff>
    </xdr:to>
    <xdr:pic>
      <xdr:nvPicPr>
        <xdr:cNvPr id="26" name="Рисунок 25" descr="C:\Users\v.kudinov\Desktop\defi   today\TEL Mail PZ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356080" y="228600"/>
          <a:ext cx="2495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11</xdr:row>
      <xdr:rowOff>266700</xdr:rowOff>
    </xdr:from>
    <xdr:to>
      <xdr:col>0</xdr:col>
      <xdr:colOff>2452497</xdr:colOff>
      <xdr:row>13</xdr:row>
      <xdr:rowOff>381000</xdr:rowOff>
    </xdr:to>
    <xdr:pic>
      <xdr:nvPicPr>
        <xdr:cNvPr id="26279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4476750"/>
          <a:ext cx="2452496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838200</xdr:colOff>
      <xdr:row>37</xdr:row>
      <xdr:rowOff>28574</xdr:rowOff>
    </xdr:from>
    <xdr:to>
      <xdr:col>0</xdr:col>
      <xdr:colOff>1981200</xdr:colOff>
      <xdr:row>37</xdr:row>
      <xdr:rowOff>783583</xdr:rowOff>
    </xdr:to>
    <xdr:pic>
      <xdr:nvPicPr>
        <xdr:cNvPr id="262798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8200" y="20926424"/>
          <a:ext cx="1143000" cy="755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</xdr:row>
      <xdr:rowOff>74806</xdr:rowOff>
    </xdr:from>
    <xdr:to>
      <xdr:col>0</xdr:col>
      <xdr:colOff>2400300</xdr:colOff>
      <xdr:row>31</xdr:row>
      <xdr:rowOff>742950</xdr:rowOff>
    </xdr:to>
    <xdr:pic>
      <xdr:nvPicPr>
        <xdr:cNvPr id="262799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b="11363"/>
        <a:stretch>
          <a:fillRect/>
        </a:stretch>
      </xdr:blipFill>
      <xdr:spPr bwMode="auto">
        <a:xfrm>
          <a:off x="104775" y="12381106"/>
          <a:ext cx="2295525" cy="5240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57151</xdr:colOff>
      <xdr:row>16</xdr:row>
      <xdr:rowOff>1066800</xdr:rowOff>
    </xdr:from>
    <xdr:to>
      <xdr:col>0</xdr:col>
      <xdr:colOff>2434707</xdr:colOff>
      <xdr:row>18</xdr:row>
      <xdr:rowOff>495300</xdr:rowOff>
    </xdr:to>
    <xdr:pic>
      <xdr:nvPicPr>
        <xdr:cNvPr id="262804" name="Picture 10" descr="уличное ограждение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1" y="8343900"/>
          <a:ext cx="2377556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38</xdr:row>
      <xdr:rowOff>38100</xdr:rowOff>
    </xdr:from>
    <xdr:to>
      <xdr:col>0</xdr:col>
      <xdr:colOff>1962150</xdr:colOff>
      <xdr:row>38</xdr:row>
      <xdr:rowOff>636342</xdr:rowOff>
    </xdr:to>
    <xdr:pic>
      <xdr:nvPicPr>
        <xdr:cNvPr id="12" name="Рисунок 11" descr="Крепление временного ограждения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2650450"/>
          <a:ext cx="1085850" cy="598242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152399</xdr:colOff>
      <xdr:row>48</xdr:row>
      <xdr:rowOff>438149</xdr:rowOff>
    </xdr:from>
    <xdr:to>
      <xdr:col>4</xdr:col>
      <xdr:colOff>2057400</xdr:colOff>
      <xdr:row>51</xdr:row>
      <xdr:rowOff>342900</xdr:rowOff>
    </xdr:to>
    <xdr:pic>
      <xdr:nvPicPr>
        <xdr:cNvPr id="14" name="Рисунок 13" descr="Штакетник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19799" y="27679649"/>
          <a:ext cx="1905001" cy="24384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48</xdr:row>
      <xdr:rowOff>285750</xdr:rowOff>
    </xdr:from>
    <xdr:to>
      <xdr:col>1</xdr:col>
      <xdr:colOff>1224398</xdr:colOff>
      <xdr:row>49</xdr:row>
      <xdr:rowOff>781050</xdr:rowOff>
    </xdr:to>
    <xdr:pic>
      <xdr:nvPicPr>
        <xdr:cNvPr id="16" name="Рисунок 15" descr="штакетник полукруглый - размеры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49" y="28384500"/>
          <a:ext cx="3738999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2200376</xdr:colOff>
      <xdr:row>50</xdr:row>
      <xdr:rowOff>44013</xdr:rowOff>
    </xdr:from>
    <xdr:to>
      <xdr:col>3</xdr:col>
      <xdr:colOff>1148195</xdr:colOff>
      <xdr:row>51</xdr:row>
      <xdr:rowOff>762000</xdr:rowOff>
    </xdr:to>
    <xdr:pic>
      <xdr:nvPicPr>
        <xdr:cNvPr id="17" name="Рисунок 16" descr="штакетник прямоугольный - размеры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00376" y="28942863"/>
          <a:ext cx="3724174" cy="1537137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2324101</xdr:colOff>
      <xdr:row>46</xdr:row>
      <xdr:rowOff>457200</xdr:rowOff>
    </xdr:from>
    <xdr:to>
      <xdr:col>4</xdr:col>
      <xdr:colOff>74866</xdr:colOff>
      <xdr:row>48</xdr:row>
      <xdr:rowOff>190500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24101" y="26917650"/>
          <a:ext cx="3774029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38100</xdr:rowOff>
    </xdr:from>
    <xdr:to>
      <xdr:col>2</xdr:col>
      <xdr:colOff>307428</xdr:colOff>
      <xdr:row>46</xdr:row>
      <xdr:rowOff>590550</xdr:rowOff>
    </xdr:to>
    <xdr:pic>
      <xdr:nvPicPr>
        <xdr:cNvPr id="1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5736550"/>
          <a:ext cx="4079328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323850</xdr:colOff>
      <xdr:row>44</xdr:row>
      <xdr:rowOff>163980</xdr:rowOff>
    </xdr:from>
    <xdr:to>
      <xdr:col>4</xdr:col>
      <xdr:colOff>2076450</xdr:colOff>
      <xdr:row>48</xdr:row>
      <xdr:rowOff>170142</xdr:rowOff>
    </xdr:to>
    <xdr:pic>
      <xdr:nvPicPr>
        <xdr:cNvPr id="1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r="1477"/>
        <a:stretch>
          <a:fillRect/>
        </a:stretch>
      </xdr:blipFill>
      <xdr:spPr bwMode="auto">
        <a:xfrm>
          <a:off x="6191250" y="25005180"/>
          <a:ext cx="1752600" cy="240646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1257301</xdr:colOff>
      <xdr:row>32</xdr:row>
      <xdr:rowOff>70290</xdr:rowOff>
    </xdr:from>
    <xdr:to>
      <xdr:col>0</xdr:col>
      <xdr:colOff>1676401</xdr:colOff>
      <xdr:row>32</xdr:row>
      <xdr:rowOff>585752</xdr:rowOff>
    </xdr:to>
    <xdr:pic>
      <xdr:nvPicPr>
        <xdr:cNvPr id="19" name="Рисунок 18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7301" y="17539140"/>
          <a:ext cx="419100" cy="515462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35</xdr:row>
      <xdr:rowOff>57150</xdr:rowOff>
    </xdr:from>
    <xdr:to>
      <xdr:col>0</xdr:col>
      <xdr:colOff>2008632</xdr:colOff>
      <xdr:row>36</xdr:row>
      <xdr:rowOff>494538</xdr:rowOff>
    </xdr:to>
    <xdr:pic>
      <xdr:nvPicPr>
        <xdr:cNvPr id="21" name="Рисунок 20" descr="ВрО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90600" y="18345150"/>
          <a:ext cx="1018032" cy="1237488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</xdr:row>
      <xdr:rowOff>0</xdr:rowOff>
    </xdr:from>
    <xdr:to>
      <xdr:col>2</xdr:col>
      <xdr:colOff>628650</xdr:colOff>
      <xdr:row>4</xdr:row>
      <xdr:rowOff>464820</xdr:rowOff>
    </xdr:to>
    <xdr:pic>
      <xdr:nvPicPr>
        <xdr:cNvPr id="22" name="Рисунок 9" descr="N:\01_ПРОДАЖИ\СИСТЕМЫ ОГРАЖДЕНИЙ\14_LOGO PZS\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9151" t="33759" r="9332" b="31212"/>
        <a:stretch>
          <a:fillRect/>
        </a:stretch>
      </xdr:blipFill>
      <xdr:spPr bwMode="auto">
        <a:xfrm>
          <a:off x="419100" y="571500"/>
          <a:ext cx="407670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704850</xdr:colOff>
      <xdr:row>2</xdr:row>
      <xdr:rowOff>38100</xdr:rowOff>
    </xdr:from>
    <xdr:to>
      <xdr:col>14</xdr:col>
      <xdr:colOff>1219200</xdr:colOff>
      <xdr:row>5</xdr:row>
      <xdr:rowOff>114300</xdr:rowOff>
    </xdr:to>
    <xdr:pic>
      <xdr:nvPicPr>
        <xdr:cNvPr id="23" name="Рисунок 22" descr="C:\Users\v.kudinov\Desktop\defi   today\TEL Mail PZ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745450" y="419100"/>
          <a:ext cx="2495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623893</xdr:colOff>
      <xdr:row>20</xdr:row>
      <xdr:rowOff>95250</xdr:rowOff>
    </xdr:from>
    <xdr:to>
      <xdr:col>0</xdr:col>
      <xdr:colOff>4024313</xdr:colOff>
      <xdr:row>22</xdr:row>
      <xdr:rowOff>866498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3893" y="11596688"/>
          <a:ext cx="3400420" cy="2342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280990</xdr:colOff>
      <xdr:row>14</xdr:row>
      <xdr:rowOff>71437</xdr:rowOff>
    </xdr:from>
    <xdr:to>
      <xdr:col>0</xdr:col>
      <xdr:colOff>4597404</xdr:colOff>
      <xdr:row>16</xdr:row>
      <xdr:rowOff>792187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0990" y="6715125"/>
          <a:ext cx="4316414" cy="23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390528</xdr:colOff>
      <xdr:row>11</xdr:row>
      <xdr:rowOff>52387</xdr:rowOff>
    </xdr:from>
    <xdr:to>
      <xdr:col>0</xdr:col>
      <xdr:colOff>4402416</xdr:colOff>
      <xdr:row>13</xdr:row>
      <xdr:rowOff>773137</xdr:rowOff>
    </xdr:to>
    <xdr:pic>
      <xdr:nvPicPr>
        <xdr:cNvPr id="4" name="Picture 5" descr="Откатные на фауресик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0528" y="4267200"/>
          <a:ext cx="4011888" cy="23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29</xdr:row>
      <xdr:rowOff>1123950</xdr:rowOff>
    </xdr:from>
    <xdr:to>
      <xdr:col>2</xdr:col>
      <xdr:colOff>1495425</xdr:colOff>
      <xdr:row>34</xdr:row>
      <xdr:rowOff>33338</xdr:rowOff>
    </xdr:to>
    <xdr:pic>
      <xdr:nvPicPr>
        <xdr:cNvPr id="6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86675" y="21545550"/>
          <a:ext cx="11620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29</xdr:row>
      <xdr:rowOff>304800</xdr:rowOff>
    </xdr:from>
    <xdr:to>
      <xdr:col>2</xdr:col>
      <xdr:colOff>2124075</xdr:colOff>
      <xdr:row>33</xdr:row>
      <xdr:rowOff>161926</xdr:rowOff>
    </xdr:to>
    <xdr:pic>
      <xdr:nvPicPr>
        <xdr:cNvPr id="7" name="Afbeelding 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020175" y="21097875"/>
          <a:ext cx="4572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30</xdr:row>
      <xdr:rowOff>0</xdr:rowOff>
    </xdr:from>
    <xdr:to>
      <xdr:col>3</xdr:col>
      <xdr:colOff>990600</xdr:colOff>
      <xdr:row>33</xdr:row>
      <xdr:rowOff>261938</xdr:rowOff>
    </xdr:to>
    <xdr:pic>
      <xdr:nvPicPr>
        <xdr:cNvPr id="8" name="Afbeelding 138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63150" y="21545550"/>
          <a:ext cx="5810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482600</xdr:colOff>
      <xdr:row>3</xdr:row>
      <xdr:rowOff>127000</xdr:rowOff>
    </xdr:from>
    <xdr:to>
      <xdr:col>0</xdr:col>
      <xdr:colOff>4559300</xdr:colOff>
      <xdr:row>6</xdr:row>
      <xdr:rowOff>45720</xdr:rowOff>
    </xdr:to>
    <xdr:pic>
      <xdr:nvPicPr>
        <xdr:cNvPr id="10" name="Рисунок 9" descr="N:\01_ПРОДАЖИ\СИСТЕМЫ ОГРАЖДЕНИЙ\14_LOGO PZS\3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9151" t="33759" r="9332" b="31212"/>
        <a:stretch>
          <a:fillRect/>
        </a:stretch>
      </xdr:blipFill>
      <xdr:spPr bwMode="auto">
        <a:xfrm>
          <a:off x="482600" y="838200"/>
          <a:ext cx="407670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25400</xdr:colOff>
      <xdr:row>3</xdr:row>
      <xdr:rowOff>0</xdr:rowOff>
    </xdr:from>
    <xdr:to>
      <xdr:col>16</xdr:col>
      <xdr:colOff>1047750</xdr:colOff>
      <xdr:row>6</xdr:row>
      <xdr:rowOff>234950</xdr:rowOff>
    </xdr:to>
    <xdr:pic>
      <xdr:nvPicPr>
        <xdr:cNvPr id="11" name="Рисунок 10" descr="C:\Users\v.kudinov\Desktop\defi   today\TEL Mail PZ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676600" y="711200"/>
          <a:ext cx="2495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20</xdr:row>
      <xdr:rowOff>114300</xdr:rowOff>
    </xdr:from>
    <xdr:to>
      <xdr:col>0</xdr:col>
      <xdr:colOff>2810008</xdr:colOff>
      <xdr:row>24</xdr:row>
      <xdr:rowOff>325244</xdr:rowOff>
    </xdr:to>
    <xdr:pic>
      <xdr:nvPicPr>
        <xdr:cNvPr id="2" name="Picture 1" descr="калитки cop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575" y="9523141"/>
          <a:ext cx="2019433" cy="1767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380996</xdr:colOff>
      <xdr:row>10</xdr:row>
      <xdr:rowOff>152398</xdr:rowOff>
    </xdr:from>
    <xdr:to>
      <xdr:col>0</xdr:col>
      <xdr:colOff>3881436</xdr:colOff>
      <xdr:row>13</xdr:row>
      <xdr:rowOff>609600</xdr:rowOff>
    </xdr:to>
    <xdr:pic>
      <xdr:nvPicPr>
        <xdr:cNvPr id="3" name="Picture 2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0996" y="3605211"/>
          <a:ext cx="3500440" cy="2600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190498</xdr:colOff>
      <xdr:row>46</xdr:row>
      <xdr:rowOff>85726</xdr:rowOff>
    </xdr:from>
    <xdr:to>
      <xdr:col>11</xdr:col>
      <xdr:colOff>1209673</xdr:colOff>
      <xdr:row>49</xdr:row>
      <xdr:rowOff>381002</xdr:rowOff>
    </xdr:to>
    <xdr:pic>
      <xdr:nvPicPr>
        <xdr:cNvPr id="5" name="Picture 78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26061" y="21659851"/>
          <a:ext cx="2447925" cy="1795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1538292</xdr:colOff>
      <xdr:row>31</xdr:row>
      <xdr:rowOff>85724</xdr:rowOff>
    </xdr:from>
    <xdr:to>
      <xdr:col>0</xdr:col>
      <xdr:colOff>2290767</xdr:colOff>
      <xdr:row>32</xdr:row>
      <xdr:rowOff>442911</xdr:rowOff>
    </xdr:to>
    <xdr:pic>
      <xdr:nvPicPr>
        <xdr:cNvPr id="7" name="Picture 300" descr="00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38292" y="14111287"/>
          <a:ext cx="7524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37</xdr:row>
      <xdr:rowOff>52388</xdr:rowOff>
    </xdr:from>
    <xdr:to>
      <xdr:col>0</xdr:col>
      <xdr:colOff>3019425</xdr:colOff>
      <xdr:row>38</xdr:row>
      <xdr:rowOff>404813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6325" y="17054513"/>
          <a:ext cx="19431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976309</xdr:colOff>
      <xdr:row>35</xdr:row>
      <xdr:rowOff>57150</xdr:rowOff>
    </xdr:from>
    <xdr:to>
      <xdr:col>0</xdr:col>
      <xdr:colOff>3119436</xdr:colOff>
      <xdr:row>36</xdr:row>
      <xdr:rowOff>370915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76309" y="16130588"/>
          <a:ext cx="2143127" cy="790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1524003</xdr:colOff>
      <xdr:row>33</xdr:row>
      <xdr:rowOff>47625</xdr:rowOff>
    </xdr:from>
    <xdr:to>
      <xdr:col>0</xdr:col>
      <xdr:colOff>2314578</xdr:colOff>
      <xdr:row>34</xdr:row>
      <xdr:rowOff>428625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3" y="15120938"/>
          <a:ext cx="7905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1801497</xdr:colOff>
      <xdr:row>53</xdr:row>
      <xdr:rowOff>71608</xdr:rowOff>
    </xdr:from>
    <xdr:to>
      <xdr:col>0</xdr:col>
      <xdr:colOff>2299939</xdr:colOff>
      <xdr:row>54</xdr:row>
      <xdr:rowOff>390381</xdr:rowOff>
    </xdr:to>
    <xdr:pic>
      <xdr:nvPicPr>
        <xdr:cNvPr id="1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01497" y="24255815"/>
          <a:ext cx="498442" cy="85310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1508547</xdr:colOff>
      <xdr:row>55</xdr:row>
      <xdr:rowOff>100557</xdr:rowOff>
    </xdr:from>
    <xdr:to>
      <xdr:col>0</xdr:col>
      <xdr:colOff>2625183</xdr:colOff>
      <xdr:row>56</xdr:row>
      <xdr:rowOff>321136</xdr:rowOff>
    </xdr:to>
    <xdr:pic>
      <xdr:nvPicPr>
        <xdr:cNvPr id="1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8547" y="25306959"/>
          <a:ext cx="1116636" cy="7549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1562101</xdr:colOff>
      <xdr:row>46</xdr:row>
      <xdr:rowOff>71438</xdr:rowOff>
    </xdr:from>
    <xdr:to>
      <xdr:col>0</xdr:col>
      <xdr:colOff>2403977</xdr:colOff>
      <xdr:row>49</xdr:row>
      <xdr:rowOff>385763</xdr:rowOff>
    </xdr:to>
    <xdr:pic>
      <xdr:nvPicPr>
        <xdr:cNvPr id="13" name="Рисунок 12" descr="07 копия - копия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62101" y="21645563"/>
          <a:ext cx="841876" cy="1814511"/>
        </a:xfrm>
        <a:prstGeom prst="rect">
          <a:avLst/>
        </a:prstGeom>
      </xdr:spPr>
    </xdr:pic>
    <xdr:clientData/>
  </xdr:twoCellAnchor>
  <xdr:twoCellAnchor editAs="oneCell">
    <xdr:from>
      <xdr:col>10</xdr:col>
      <xdr:colOff>1038308</xdr:colOff>
      <xdr:row>55</xdr:row>
      <xdr:rowOff>209086</xdr:rowOff>
    </xdr:from>
    <xdr:to>
      <xdr:col>11</xdr:col>
      <xdr:colOff>584543</xdr:colOff>
      <xdr:row>56</xdr:row>
      <xdr:rowOff>342454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101" y="25415488"/>
          <a:ext cx="986601" cy="667698"/>
        </a:xfrm>
        <a:prstGeom prst="rect">
          <a:avLst/>
        </a:prstGeom>
      </xdr:spPr>
    </xdr:pic>
    <xdr:clientData/>
  </xdr:twoCellAnchor>
  <xdr:twoCellAnchor editAs="oneCell">
    <xdr:from>
      <xdr:col>10</xdr:col>
      <xdr:colOff>1062302</xdr:colOff>
      <xdr:row>53</xdr:row>
      <xdr:rowOff>123856</xdr:rowOff>
    </xdr:from>
    <xdr:to>
      <xdr:col>11</xdr:col>
      <xdr:colOff>185853</xdr:colOff>
      <xdr:row>54</xdr:row>
      <xdr:rowOff>265502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8095" y="24308063"/>
          <a:ext cx="563917" cy="675976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714373</xdr:colOff>
      <xdr:row>20</xdr:row>
      <xdr:rowOff>357188</xdr:rowOff>
    </xdr:from>
    <xdr:to>
      <xdr:col>10</xdr:col>
      <xdr:colOff>633329</xdr:colOff>
      <xdr:row>24</xdr:row>
      <xdr:rowOff>145248</xdr:rowOff>
    </xdr:to>
    <xdr:pic>
      <xdr:nvPicPr>
        <xdr:cNvPr id="149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668623" y="9810751"/>
          <a:ext cx="2705019" cy="13882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1190639</xdr:colOff>
      <xdr:row>27</xdr:row>
      <xdr:rowOff>47968</xdr:rowOff>
    </xdr:from>
    <xdr:to>
      <xdr:col>0</xdr:col>
      <xdr:colOff>2809875</xdr:colOff>
      <xdr:row>27</xdr:row>
      <xdr:rowOff>873550</xdr:rowOff>
    </xdr:to>
    <xdr:pic>
      <xdr:nvPicPr>
        <xdr:cNvPr id="16" name="Рисунок 15" descr="проушины для навесного замка_0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90639" y="12359031"/>
          <a:ext cx="1619236" cy="825582"/>
        </a:xfrm>
        <a:prstGeom prst="rect">
          <a:avLst/>
        </a:prstGeom>
      </xdr:spPr>
    </xdr:pic>
    <xdr:clientData/>
  </xdr:twoCellAnchor>
  <xdr:twoCellAnchor editAs="oneCell">
    <xdr:from>
      <xdr:col>0</xdr:col>
      <xdr:colOff>421106</xdr:colOff>
      <xdr:row>2</xdr:row>
      <xdr:rowOff>140368</xdr:rowOff>
    </xdr:from>
    <xdr:to>
      <xdr:col>1</xdr:col>
      <xdr:colOff>206543</xdr:colOff>
      <xdr:row>5</xdr:row>
      <xdr:rowOff>133951</xdr:rowOff>
    </xdr:to>
    <xdr:pic>
      <xdr:nvPicPr>
        <xdr:cNvPr id="19" name="Рисунок 9" descr="N:\01_ПРОДАЖИ\СИСТЕМЫ ОГРАЖДЕНИЙ\14_LOGO PZS\3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9151" t="33759" r="9332" b="31212"/>
        <a:stretch>
          <a:fillRect/>
        </a:stretch>
      </xdr:blipFill>
      <xdr:spPr bwMode="auto">
        <a:xfrm>
          <a:off x="421106" y="561473"/>
          <a:ext cx="407670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862263</xdr:colOff>
      <xdr:row>2</xdr:row>
      <xdr:rowOff>60158</xdr:rowOff>
    </xdr:from>
    <xdr:to>
      <xdr:col>17</xdr:col>
      <xdr:colOff>1833813</xdr:colOff>
      <xdr:row>5</xdr:row>
      <xdr:rowOff>369971</xdr:rowOff>
    </xdr:to>
    <xdr:pic>
      <xdr:nvPicPr>
        <xdr:cNvPr id="20" name="Рисунок 19" descr="C:\Users\v.kudinov\Desktop\defi   today\TEL Mail PZ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755474" y="481263"/>
          <a:ext cx="2495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38100</xdr:rowOff>
    </xdr:from>
    <xdr:to>
      <xdr:col>3</xdr:col>
      <xdr:colOff>0</xdr:colOff>
      <xdr:row>4</xdr:row>
      <xdr:rowOff>314325</xdr:rowOff>
    </xdr:to>
    <xdr:sp macro="" textlink="">
      <xdr:nvSpPr>
        <xdr:cNvPr id="2" name="Rectangle 1109"/>
        <xdr:cNvSpPr>
          <a:spLocks noChangeArrowheads="1"/>
        </xdr:cNvSpPr>
      </xdr:nvSpPr>
      <xdr:spPr bwMode="auto">
        <a:xfrm>
          <a:off x="9344025" y="2790825"/>
          <a:ext cx="0" cy="276225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4</xdr:row>
      <xdr:rowOff>57150</xdr:rowOff>
    </xdr:from>
    <xdr:to>
      <xdr:col>3</xdr:col>
      <xdr:colOff>0</xdr:colOff>
      <xdr:row>4</xdr:row>
      <xdr:rowOff>285750</xdr:rowOff>
    </xdr:to>
    <xdr:sp macro="" textlink="">
      <xdr:nvSpPr>
        <xdr:cNvPr id="3" name="Rectangle 1110"/>
        <xdr:cNvSpPr>
          <a:spLocks noChangeArrowheads="1"/>
        </xdr:cNvSpPr>
      </xdr:nvSpPr>
      <xdr:spPr bwMode="auto">
        <a:xfrm>
          <a:off x="9344025" y="2809875"/>
          <a:ext cx="0" cy="228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4</xdr:row>
      <xdr:rowOff>76200</xdr:rowOff>
    </xdr:from>
    <xdr:to>
      <xdr:col>3</xdr:col>
      <xdr:colOff>0</xdr:colOff>
      <xdr:row>4</xdr:row>
      <xdr:rowOff>238125</xdr:rowOff>
    </xdr:to>
    <xdr:sp macro="" textlink="">
      <xdr:nvSpPr>
        <xdr:cNvPr id="4" name="Oval 1128"/>
        <xdr:cNvSpPr>
          <a:spLocks noChangeArrowheads="1"/>
        </xdr:cNvSpPr>
      </xdr:nvSpPr>
      <xdr:spPr bwMode="auto">
        <a:xfrm>
          <a:off x="9344025" y="2828925"/>
          <a:ext cx="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5</xdr:row>
      <xdr:rowOff>266700</xdr:rowOff>
    </xdr:from>
    <xdr:to>
      <xdr:col>3</xdr:col>
      <xdr:colOff>0</xdr:colOff>
      <xdr:row>7</xdr:row>
      <xdr:rowOff>133350</xdr:rowOff>
    </xdr:to>
    <xdr:sp macro="" textlink="">
      <xdr:nvSpPr>
        <xdr:cNvPr id="5" name="Rectangle 1110"/>
        <xdr:cNvSpPr>
          <a:spLocks noChangeArrowheads="1"/>
        </xdr:cNvSpPr>
      </xdr:nvSpPr>
      <xdr:spPr bwMode="auto">
        <a:xfrm>
          <a:off x="9344025" y="3352800"/>
          <a:ext cx="0" cy="828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6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7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62</xdr:row>
      <xdr:rowOff>76200</xdr:rowOff>
    </xdr:from>
    <xdr:to>
      <xdr:col>3</xdr:col>
      <xdr:colOff>0</xdr:colOff>
      <xdr:row>62</xdr:row>
      <xdr:rowOff>952500</xdr:rowOff>
    </xdr:to>
    <xdr:sp macro="" textlink="">
      <xdr:nvSpPr>
        <xdr:cNvPr id="8" name="Rectangle 1109"/>
        <xdr:cNvSpPr>
          <a:spLocks noChangeArrowheads="1"/>
        </xdr:cNvSpPr>
      </xdr:nvSpPr>
      <xdr:spPr bwMode="auto">
        <a:xfrm>
          <a:off x="9344025" y="24755475"/>
          <a:ext cx="0" cy="87630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62</xdr:row>
      <xdr:rowOff>361950</xdr:rowOff>
    </xdr:from>
    <xdr:to>
      <xdr:col>3</xdr:col>
      <xdr:colOff>0</xdr:colOff>
      <xdr:row>62</xdr:row>
      <xdr:rowOff>733425</xdr:rowOff>
    </xdr:to>
    <xdr:sp macro="" textlink="">
      <xdr:nvSpPr>
        <xdr:cNvPr id="9" name="PIJL-LINKS en -RECHTS 702"/>
        <xdr:cNvSpPr>
          <a:spLocks noChangeArrowheads="1"/>
        </xdr:cNvSpPr>
      </xdr:nvSpPr>
      <xdr:spPr bwMode="auto">
        <a:xfrm>
          <a:off x="9344025" y="25041225"/>
          <a:ext cx="0" cy="37147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59</xdr:row>
      <xdr:rowOff>38100</xdr:rowOff>
    </xdr:from>
    <xdr:to>
      <xdr:col>3</xdr:col>
      <xdr:colOff>0</xdr:colOff>
      <xdr:row>59</xdr:row>
      <xdr:rowOff>704850</xdr:rowOff>
    </xdr:to>
    <xdr:sp macro="" textlink="">
      <xdr:nvSpPr>
        <xdr:cNvPr id="10" name="Rectangle 1109"/>
        <xdr:cNvSpPr>
          <a:spLocks noChangeArrowheads="1"/>
        </xdr:cNvSpPr>
      </xdr:nvSpPr>
      <xdr:spPr bwMode="auto">
        <a:xfrm>
          <a:off x="9344025" y="23479125"/>
          <a:ext cx="0" cy="371475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59</xdr:row>
      <xdr:rowOff>171450</xdr:rowOff>
    </xdr:from>
    <xdr:to>
      <xdr:col>3</xdr:col>
      <xdr:colOff>0</xdr:colOff>
      <xdr:row>59</xdr:row>
      <xdr:rowOff>581025</xdr:rowOff>
    </xdr:to>
    <xdr:sp macro="" textlink="">
      <xdr:nvSpPr>
        <xdr:cNvPr id="11" name="PIJL-LINKS en -RECHTS 721"/>
        <xdr:cNvSpPr>
          <a:spLocks noChangeArrowheads="1"/>
        </xdr:cNvSpPr>
      </xdr:nvSpPr>
      <xdr:spPr bwMode="auto">
        <a:xfrm>
          <a:off x="9344025" y="23612475"/>
          <a:ext cx="0" cy="23812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123266</xdr:colOff>
      <xdr:row>73</xdr:row>
      <xdr:rowOff>0</xdr:rowOff>
    </xdr:from>
    <xdr:to>
      <xdr:col>6</xdr:col>
      <xdr:colOff>414617</xdr:colOff>
      <xdr:row>73</xdr:row>
      <xdr:rowOff>0</xdr:rowOff>
    </xdr:to>
    <xdr:sp macro="" textlink="">
      <xdr:nvSpPr>
        <xdr:cNvPr id="12" name="PIJL-LINKS en -RECHTS 744"/>
        <xdr:cNvSpPr/>
      </xdr:nvSpPr>
      <xdr:spPr>
        <a:xfrm>
          <a:off x="13839266" y="32099250"/>
          <a:ext cx="291351" cy="0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3</xdr:col>
      <xdr:colOff>190500</xdr:colOff>
      <xdr:row>57</xdr:row>
      <xdr:rowOff>2931</xdr:rowOff>
    </xdr:from>
    <xdr:to>
      <xdr:col>3</xdr:col>
      <xdr:colOff>359019</xdr:colOff>
      <xdr:row>57</xdr:row>
      <xdr:rowOff>3254</xdr:rowOff>
    </xdr:to>
    <xdr:sp macro="" textlink="">
      <xdr:nvSpPr>
        <xdr:cNvPr id="13" name="PIJL-LINKS en -RECHTS 912"/>
        <xdr:cNvSpPr/>
      </xdr:nvSpPr>
      <xdr:spPr>
        <a:xfrm>
          <a:off x="9534525" y="22243806"/>
          <a:ext cx="168519" cy="323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3</xdr:col>
      <xdr:colOff>190500</xdr:colOff>
      <xdr:row>57</xdr:row>
      <xdr:rowOff>2931</xdr:rowOff>
    </xdr:from>
    <xdr:to>
      <xdr:col>3</xdr:col>
      <xdr:colOff>359019</xdr:colOff>
      <xdr:row>57</xdr:row>
      <xdr:rowOff>3254</xdr:rowOff>
    </xdr:to>
    <xdr:sp macro="" textlink="">
      <xdr:nvSpPr>
        <xdr:cNvPr id="14" name="PIJL-LINKS en -RECHTS 918"/>
        <xdr:cNvSpPr/>
      </xdr:nvSpPr>
      <xdr:spPr>
        <a:xfrm>
          <a:off x="9534525" y="22243806"/>
          <a:ext cx="168519" cy="323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4</xdr:col>
      <xdr:colOff>57150</xdr:colOff>
      <xdr:row>57</xdr:row>
      <xdr:rowOff>0</xdr:rowOff>
    </xdr:from>
    <xdr:to>
      <xdr:col>4</xdr:col>
      <xdr:colOff>266700</xdr:colOff>
      <xdr:row>57</xdr:row>
      <xdr:rowOff>0</xdr:rowOff>
    </xdr:to>
    <xdr:sp macro="" textlink="">
      <xdr:nvSpPr>
        <xdr:cNvPr id="15" name="PIJL-OMLAAG 931"/>
        <xdr:cNvSpPr>
          <a:spLocks noChangeArrowheads="1"/>
        </xdr:cNvSpPr>
      </xdr:nvSpPr>
      <xdr:spPr bwMode="auto">
        <a:xfrm>
          <a:off x="10906125" y="22240875"/>
          <a:ext cx="209550" cy="0"/>
        </a:xfrm>
        <a:prstGeom prst="down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57150</xdr:rowOff>
    </xdr:from>
    <xdr:to>
      <xdr:col>5</xdr:col>
      <xdr:colOff>285750</xdr:colOff>
      <xdr:row>56</xdr:row>
      <xdr:rowOff>666750</xdr:rowOff>
    </xdr:to>
    <xdr:sp macro="" textlink="">
      <xdr:nvSpPr>
        <xdr:cNvPr id="16" name="PIJL-LINKS en -RECHTS 932"/>
        <xdr:cNvSpPr>
          <a:spLocks noChangeArrowheads="1"/>
        </xdr:cNvSpPr>
      </xdr:nvSpPr>
      <xdr:spPr bwMode="auto">
        <a:xfrm rot="-5400000">
          <a:off x="12220575" y="21850350"/>
          <a:ext cx="542925" cy="238125"/>
        </a:xfrm>
        <a:prstGeom prst="leftRightArrow">
          <a:avLst>
            <a:gd name="adj1" fmla="val 50000"/>
            <a:gd name="adj2" fmla="val 43753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57</xdr:row>
      <xdr:rowOff>0</xdr:rowOff>
    </xdr:from>
    <xdr:to>
      <xdr:col>5</xdr:col>
      <xdr:colOff>285750</xdr:colOff>
      <xdr:row>57</xdr:row>
      <xdr:rowOff>0</xdr:rowOff>
    </xdr:to>
    <xdr:sp macro="" textlink="">
      <xdr:nvSpPr>
        <xdr:cNvPr id="17" name="PIJL-LINKS en -RECHTS 933"/>
        <xdr:cNvSpPr>
          <a:spLocks noChangeArrowheads="1"/>
        </xdr:cNvSpPr>
      </xdr:nvSpPr>
      <xdr:spPr bwMode="auto">
        <a:xfrm rot="-5400000">
          <a:off x="12492038" y="22121812"/>
          <a:ext cx="0" cy="23812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190500</xdr:colOff>
      <xdr:row>57</xdr:row>
      <xdr:rowOff>2931</xdr:rowOff>
    </xdr:from>
    <xdr:to>
      <xdr:col>3</xdr:col>
      <xdr:colOff>359019</xdr:colOff>
      <xdr:row>57</xdr:row>
      <xdr:rowOff>3254</xdr:rowOff>
    </xdr:to>
    <xdr:sp macro="" textlink="">
      <xdr:nvSpPr>
        <xdr:cNvPr id="18" name="PIJL-LINKS en -RECHTS 934"/>
        <xdr:cNvSpPr/>
      </xdr:nvSpPr>
      <xdr:spPr>
        <a:xfrm>
          <a:off x="9534525" y="22243806"/>
          <a:ext cx="168519" cy="323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5</xdr:col>
      <xdr:colOff>66675</xdr:colOff>
      <xdr:row>58</xdr:row>
      <xdr:rowOff>57150</xdr:rowOff>
    </xdr:from>
    <xdr:to>
      <xdr:col>5</xdr:col>
      <xdr:colOff>247650</xdr:colOff>
      <xdr:row>58</xdr:row>
      <xdr:rowOff>704850</xdr:rowOff>
    </xdr:to>
    <xdr:sp macro="" textlink="">
      <xdr:nvSpPr>
        <xdr:cNvPr id="19" name="PIJL-LINKS en -RECHTS 1006"/>
        <xdr:cNvSpPr>
          <a:spLocks noChangeArrowheads="1"/>
        </xdr:cNvSpPr>
      </xdr:nvSpPr>
      <xdr:spPr bwMode="auto">
        <a:xfrm rot="-5400000">
          <a:off x="12211050" y="23079075"/>
          <a:ext cx="542925" cy="180975"/>
        </a:xfrm>
        <a:prstGeom prst="leftRightArrow">
          <a:avLst>
            <a:gd name="adj1" fmla="val 50000"/>
            <a:gd name="adj2" fmla="val 49509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66675</xdr:colOff>
      <xdr:row>59</xdr:row>
      <xdr:rowOff>0</xdr:rowOff>
    </xdr:from>
    <xdr:to>
      <xdr:col>5</xdr:col>
      <xdr:colOff>247650</xdr:colOff>
      <xdr:row>59</xdr:row>
      <xdr:rowOff>0</xdr:rowOff>
    </xdr:to>
    <xdr:sp macro="" textlink="">
      <xdr:nvSpPr>
        <xdr:cNvPr id="20" name="PIJL-LINKS en -RECHTS 1007"/>
        <xdr:cNvSpPr>
          <a:spLocks noChangeArrowheads="1"/>
        </xdr:cNvSpPr>
      </xdr:nvSpPr>
      <xdr:spPr bwMode="auto">
        <a:xfrm rot="-5400000">
          <a:off x="12482513" y="23350537"/>
          <a:ext cx="0" cy="18097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58</xdr:row>
      <xdr:rowOff>400050</xdr:rowOff>
    </xdr:from>
    <xdr:to>
      <xdr:col>3</xdr:col>
      <xdr:colOff>0</xdr:colOff>
      <xdr:row>58</xdr:row>
      <xdr:rowOff>619125</xdr:rowOff>
    </xdr:to>
    <xdr:sp macro="" textlink="">
      <xdr:nvSpPr>
        <xdr:cNvPr id="21" name="PIJL-LINKS en -RECHTS 1008"/>
        <xdr:cNvSpPr>
          <a:spLocks noChangeArrowheads="1"/>
        </xdr:cNvSpPr>
      </xdr:nvSpPr>
      <xdr:spPr bwMode="auto">
        <a:xfrm>
          <a:off x="9344025" y="23241000"/>
          <a:ext cx="0" cy="20002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190500</xdr:colOff>
      <xdr:row>64</xdr:row>
      <xdr:rowOff>0</xdr:rowOff>
    </xdr:from>
    <xdr:to>
      <xdr:col>8</xdr:col>
      <xdr:colOff>359019</xdr:colOff>
      <xdr:row>64</xdr:row>
      <xdr:rowOff>0</xdr:rowOff>
    </xdr:to>
    <xdr:sp macro="" textlink="">
      <xdr:nvSpPr>
        <xdr:cNvPr id="22" name="PIJL-LINKS en -RECHTS 815"/>
        <xdr:cNvSpPr/>
      </xdr:nvSpPr>
      <xdr:spPr>
        <a:xfrm>
          <a:off x="15554325" y="26384250"/>
          <a:ext cx="168519" cy="0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8</xdr:col>
      <xdr:colOff>190500</xdr:colOff>
      <xdr:row>64</xdr:row>
      <xdr:rowOff>0</xdr:rowOff>
    </xdr:from>
    <xdr:to>
      <xdr:col>8</xdr:col>
      <xdr:colOff>359019</xdr:colOff>
      <xdr:row>64</xdr:row>
      <xdr:rowOff>0</xdr:rowOff>
    </xdr:to>
    <xdr:sp macro="" textlink="">
      <xdr:nvSpPr>
        <xdr:cNvPr id="23" name="PIJL-LINKS en -RECHTS 816"/>
        <xdr:cNvSpPr/>
      </xdr:nvSpPr>
      <xdr:spPr>
        <a:xfrm>
          <a:off x="15554325" y="26384250"/>
          <a:ext cx="168519" cy="0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8</xdr:col>
      <xdr:colOff>190500</xdr:colOff>
      <xdr:row>64</xdr:row>
      <xdr:rowOff>0</xdr:rowOff>
    </xdr:from>
    <xdr:to>
      <xdr:col>8</xdr:col>
      <xdr:colOff>359019</xdr:colOff>
      <xdr:row>64</xdr:row>
      <xdr:rowOff>0</xdr:rowOff>
    </xdr:to>
    <xdr:sp macro="" textlink="">
      <xdr:nvSpPr>
        <xdr:cNvPr id="24" name="PIJL-LINKS en -RECHTS 817"/>
        <xdr:cNvSpPr/>
      </xdr:nvSpPr>
      <xdr:spPr>
        <a:xfrm>
          <a:off x="15554325" y="26384250"/>
          <a:ext cx="168519" cy="0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1</xdr:col>
      <xdr:colOff>990600</xdr:colOff>
      <xdr:row>5</xdr:row>
      <xdr:rowOff>301204</xdr:rowOff>
    </xdr:from>
    <xdr:to>
      <xdr:col>1</xdr:col>
      <xdr:colOff>2114550</xdr:colOff>
      <xdr:row>7</xdr:row>
      <xdr:rowOff>114299</xdr:rowOff>
    </xdr:to>
    <xdr:pic>
      <xdr:nvPicPr>
        <xdr:cNvPr id="25" name="Afbeelding 948" descr="LAKQ U2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38625" y="3387304"/>
          <a:ext cx="1123950" cy="775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1314450</xdr:colOff>
      <xdr:row>12</xdr:row>
      <xdr:rowOff>250278</xdr:rowOff>
    </xdr:from>
    <xdr:to>
      <xdr:col>1</xdr:col>
      <xdr:colOff>2019300</xdr:colOff>
      <xdr:row>16</xdr:row>
      <xdr:rowOff>114300</xdr:rowOff>
    </xdr:to>
    <xdr:pic>
      <xdr:nvPicPr>
        <xdr:cNvPr id="26" name="Afbeelding 1025" descr="LEKQ U4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62475" y="5946228"/>
          <a:ext cx="704850" cy="1007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1066800</xdr:colOff>
      <xdr:row>19</xdr:row>
      <xdr:rowOff>304799</xdr:rowOff>
    </xdr:from>
    <xdr:to>
      <xdr:col>1</xdr:col>
      <xdr:colOff>2019300</xdr:colOff>
      <xdr:row>22</xdr:row>
      <xdr:rowOff>98180</xdr:rowOff>
    </xdr:to>
    <xdr:pic>
      <xdr:nvPicPr>
        <xdr:cNvPr id="27" name="Afbeelding 1029" descr="LAKZ P1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14825" y="8162924"/>
          <a:ext cx="952500" cy="850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26</xdr:row>
      <xdr:rowOff>38100</xdr:rowOff>
    </xdr:from>
    <xdr:to>
      <xdr:col>1</xdr:col>
      <xdr:colOff>1009650</xdr:colOff>
      <xdr:row>27</xdr:row>
      <xdr:rowOff>247650</xdr:rowOff>
    </xdr:to>
    <xdr:pic>
      <xdr:nvPicPr>
        <xdr:cNvPr id="28" name="Afbeelding 1042" descr="HYBRID 6060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33825" y="9915525"/>
          <a:ext cx="3238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1295400</xdr:colOff>
      <xdr:row>32</xdr:row>
      <xdr:rowOff>171450</xdr:rowOff>
    </xdr:from>
    <xdr:to>
      <xdr:col>1</xdr:col>
      <xdr:colOff>2000250</xdr:colOff>
      <xdr:row>36</xdr:row>
      <xdr:rowOff>133350</xdr:rowOff>
    </xdr:to>
    <xdr:pic>
      <xdr:nvPicPr>
        <xdr:cNvPr id="29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43425" y="12468225"/>
          <a:ext cx="7048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52</xdr:row>
      <xdr:rowOff>76200</xdr:rowOff>
    </xdr:from>
    <xdr:to>
      <xdr:col>1</xdr:col>
      <xdr:colOff>1657350</xdr:colOff>
      <xdr:row>53</xdr:row>
      <xdr:rowOff>247650</xdr:rowOff>
    </xdr:to>
    <xdr:pic>
      <xdr:nvPicPr>
        <xdr:cNvPr id="30" name="Afbeelding 1117" descr="G90Z-M20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1950" y="20431125"/>
          <a:ext cx="7334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50</xdr:row>
      <xdr:rowOff>76200</xdr:rowOff>
    </xdr:from>
    <xdr:to>
      <xdr:col>1</xdr:col>
      <xdr:colOff>1600200</xdr:colOff>
      <xdr:row>51</xdr:row>
      <xdr:rowOff>231228</xdr:rowOff>
    </xdr:to>
    <xdr:pic>
      <xdr:nvPicPr>
        <xdr:cNvPr id="31" name="Afbeelding 1118" descr="GBMU-4D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975" y="19802475"/>
          <a:ext cx="476250" cy="459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1600200</xdr:colOff>
      <xdr:row>62</xdr:row>
      <xdr:rowOff>38100</xdr:rowOff>
    </xdr:from>
    <xdr:to>
      <xdr:col>1</xdr:col>
      <xdr:colOff>2114550</xdr:colOff>
      <xdr:row>63</xdr:row>
      <xdr:rowOff>152400</xdr:rowOff>
    </xdr:to>
    <xdr:pic>
      <xdr:nvPicPr>
        <xdr:cNvPr id="32" name="Afbeelding 1173" descr="VTC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48225" y="24717375"/>
          <a:ext cx="5143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1657350</xdr:colOff>
      <xdr:row>55</xdr:row>
      <xdr:rowOff>171450</xdr:rowOff>
    </xdr:from>
    <xdr:to>
      <xdr:col>1</xdr:col>
      <xdr:colOff>1981200</xdr:colOff>
      <xdr:row>56</xdr:row>
      <xdr:rowOff>514350</xdr:rowOff>
    </xdr:to>
    <xdr:pic>
      <xdr:nvPicPr>
        <xdr:cNvPr id="33" name="Afbeelding 1184" descr="VSF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905375" y="21497925"/>
          <a:ext cx="3238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1200150</xdr:colOff>
      <xdr:row>59</xdr:row>
      <xdr:rowOff>114300</xdr:rowOff>
    </xdr:from>
    <xdr:to>
      <xdr:col>1</xdr:col>
      <xdr:colOff>1943100</xdr:colOff>
      <xdr:row>61</xdr:row>
      <xdr:rowOff>57150</xdr:rowOff>
    </xdr:to>
    <xdr:pic>
      <xdr:nvPicPr>
        <xdr:cNvPr id="34" name="Afbeelding 1190" descr="SAMSON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48175" y="23555325"/>
          <a:ext cx="742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62</xdr:row>
      <xdr:rowOff>76200</xdr:rowOff>
    </xdr:from>
    <xdr:to>
      <xdr:col>1</xdr:col>
      <xdr:colOff>685800</xdr:colOff>
      <xdr:row>63</xdr:row>
      <xdr:rowOff>76200</xdr:rowOff>
    </xdr:to>
    <xdr:pic>
      <xdr:nvPicPr>
        <xdr:cNvPr id="35" name="Afbeelding 1322" descr="GATESTO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81425" y="24755475"/>
          <a:ext cx="1524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36" name="Rectangle 1109"/>
        <xdr:cNvSpPr>
          <a:spLocks noChangeArrowheads="1"/>
        </xdr:cNvSpPr>
      </xdr:nvSpPr>
      <xdr:spPr bwMode="auto">
        <a:xfrm flipH="1">
          <a:off x="9344025" y="14011275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1123950</xdr:colOff>
      <xdr:row>63</xdr:row>
      <xdr:rowOff>57150</xdr:rowOff>
    </xdr:from>
    <xdr:to>
      <xdr:col>1</xdr:col>
      <xdr:colOff>1657350</xdr:colOff>
      <xdr:row>63</xdr:row>
      <xdr:rowOff>703695</xdr:rowOff>
    </xdr:to>
    <xdr:pic>
      <xdr:nvPicPr>
        <xdr:cNvPr id="37" name="Afbeelding 1276" descr="HOOKIN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71975" y="25707975"/>
          <a:ext cx="533400" cy="646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56</xdr:row>
      <xdr:rowOff>209550</xdr:rowOff>
    </xdr:from>
    <xdr:to>
      <xdr:col>1</xdr:col>
      <xdr:colOff>1771650</xdr:colOff>
      <xdr:row>57</xdr:row>
      <xdr:rowOff>400050</xdr:rowOff>
    </xdr:to>
    <xdr:pic>
      <xdr:nvPicPr>
        <xdr:cNvPr id="38" name="Afbeelding 140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-53825" b="53825"/>
        <a:stretch>
          <a:fillRect/>
        </a:stretch>
      </xdr:blipFill>
      <xdr:spPr bwMode="auto">
        <a:xfrm>
          <a:off x="4733925" y="21850350"/>
          <a:ext cx="2857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58</xdr:row>
      <xdr:rowOff>57150</xdr:rowOff>
    </xdr:from>
    <xdr:to>
      <xdr:col>1</xdr:col>
      <xdr:colOff>1638300</xdr:colOff>
      <xdr:row>58</xdr:row>
      <xdr:rowOff>600075</xdr:rowOff>
    </xdr:to>
    <xdr:pic>
      <xdr:nvPicPr>
        <xdr:cNvPr id="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24350" y="22898100"/>
          <a:ext cx="561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56</xdr:row>
      <xdr:rowOff>38100</xdr:rowOff>
    </xdr:from>
    <xdr:to>
      <xdr:col>4</xdr:col>
      <xdr:colOff>285750</xdr:colOff>
      <xdr:row>56</xdr:row>
      <xdr:rowOff>647700</xdr:rowOff>
    </xdr:to>
    <xdr:sp macro="" textlink="">
      <xdr:nvSpPr>
        <xdr:cNvPr id="40" name="PIJL-OMLAAG 931"/>
        <xdr:cNvSpPr>
          <a:spLocks noChangeArrowheads="1"/>
        </xdr:cNvSpPr>
      </xdr:nvSpPr>
      <xdr:spPr bwMode="auto">
        <a:xfrm>
          <a:off x="10925175" y="21678900"/>
          <a:ext cx="209550" cy="561975"/>
        </a:xfrm>
        <a:prstGeom prst="downArrow">
          <a:avLst>
            <a:gd name="adj1" fmla="val 50000"/>
            <a:gd name="adj2" fmla="val 47044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12</xdr:row>
      <xdr:rowOff>285750</xdr:rowOff>
    </xdr:from>
    <xdr:to>
      <xdr:col>3</xdr:col>
      <xdr:colOff>0</xdr:colOff>
      <xdr:row>14</xdr:row>
      <xdr:rowOff>228600</xdr:rowOff>
    </xdr:to>
    <xdr:sp macro="" textlink="">
      <xdr:nvSpPr>
        <xdr:cNvPr id="41" name="Rectangle 1110"/>
        <xdr:cNvSpPr>
          <a:spLocks noChangeArrowheads="1"/>
        </xdr:cNvSpPr>
      </xdr:nvSpPr>
      <xdr:spPr bwMode="auto">
        <a:xfrm>
          <a:off x="9344025" y="5981700"/>
          <a:ext cx="0" cy="628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19</xdr:row>
      <xdr:rowOff>342900</xdr:rowOff>
    </xdr:from>
    <xdr:to>
      <xdr:col>3</xdr:col>
      <xdr:colOff>0</xdr:colOff>
      <xdr:row>21</xdr:row>
      <xdr:rowOff>228600</xdr:rowOff>
    </xdr:to>
    <xdr:sp macro="" textlink="">
      <xdr:nvSpPr>
        <xdr:cNvPr id="42" name="Rectangle 1110"/>
        <xdr:cNvSpPr>
          <a:spLocks noChangeArrowheads="1"/>
        </xdr:cNvSpPr>
      </xdr:nvSpPr>
      <xdr:spPr bwMode="auto">
        <a:xfrm>
          <a:off x="9344025" y="8201025"/>
          <a:ext cx="0" cy="590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35</xdr:row>
      <xdr:rowOff>314325</xdr:rowOff>
    </xdr:to>
    <xdr:sp macro="" textlink="">
      <xdr:nvSpPr>
        <xdr:cNvPr id="43" name="Rectangle 1110"/>
        <xdr:cNvSpPr>
          <a:spLocks noChangeArrowheads="1"/>
        </xdr:cNvSpPr>
      </xdr:nvSpPr>
      <xdr:spPr bwMode="auto">
        <a:xfrm>
          <a:off x="9344025" y="12906375"/>
          <a:ext cx="0" cy="628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4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5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6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56</xdr:row>
      <xdr:rowOff>57150</xdr:rowOff>
    </xdr:from>
    <xdr:to>
      <xdr:col>3</xdr:col>
      <xdr:colOff>0</xdr:colOff>
      <xdr:row>56</xdr:row>
      <xdr:rowOff>504825</xdr:rowOff>
    </xdr:to>
    <xdr:sp macro="" textlink="">
      <xdr:nvSpPr>
        <xdr:cNvPr id="47" name="Rectangle 1110"/>
        <xdr:cNvSpPr>
          <a:spLocks noChangeArrowheads="1"/>
        </xdr:cNvSpPr>
      </xdr:nvSpPr>
      <xdr:spPr bwMode="auto">
        <a:xfrm>
          <a:off x="9344025" y="21697950"/>
          <a:ext cx="0" cy="447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8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9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57</xdr:row>
      <xdr:rowOff>0</xdr:rowOff>
    </xdr:from>
    <xdr:to>
      <xdr:col>3</xdr:col>
      <xdr:colOff>0</xdr:colOff>
      <xdr:row>57</xdr:row>
      <xdr:rowOff>0</xdr:rowOff>
    </xdr:to>
    <xdr:sp macro="" textlink="">
      <xdr:nvSpPr>
        <xdr:cNvPr id="50" name="Rectangle 1110"/>
        <xdr:cNvSpPr>
          <a:spLocks noChangeArrowheads="1"/>
        </xdr:cNvSpPr>
      </xdr:nvSpPr>
      <xdr:spPr bwMode="auto">
        <a:xfrm>
          <a:off x="9344025" y="22240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57</xdr:row>
      <xdr:rowOff>76200</xdr:rowOff>
    </xdr:from>
    <xdr:to>
      <xdr:col>3</xdr:col>
      <xdr:colOff>0</xdr:colOff>
      <xdr:row>57</xdr:row>
      <xdr:rowOff>514350</xdr:rowOff>
    </xdr:to>
    <xdr:sp macro="" textlink="">
      <xdr:nvSpPr>
        <xdr:cNvPr id="51" name="Rectangle 1110"/>
        <xdr:cNvSpPr>
          <a:spLocks noChangeArrowheads="1"/>
        </xdr:cNvSpPr>
      </xdr:nvSpPr>
      <xdr:spPr bwMode="auto">
        <a:xfrm>
          <a:off x="9344025" y="22317075"/>
          <a:ext cx="0" cy="438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58</xdr:row>
      <xdr:rowOff>228600</xdr:rowOff>
    </xdr:from>
    <xdr:to>
      <xdr:col>3</xdr:col>
      <xdr:colOff>0</xdr:colOff>
      <xdr:row>58</xdr:row>
      <xdr:rowOff>781050</xdr:rowOff>
    </xdr:to>
    <xdr:sp macro="" textlink="">
      <xdr:nvSpPr>
        <xdr:cNvPr id="52" name="Rectangle 1110"/>
        <xdr:cNvSpPr>
          <a:spLocks noChangeArrowheads="1"/>
        </xdr:cNvSpPr>
      </xdr:nvSpPr>
      <xdr:spPr bwMode="auto">
        <a:xfrm>
          <a:off x="9344025" y="23069550"/>
          <a:ext cx="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59</xdr:row>
      <xdr:rowOff>0</xdr:rowOff>
    </xdr:from>
    <xdr:to>
      <xdr:col>3</xdr:col>
      <xdr:colOff>0</xdr:colOff>
      <xdr:row>59</xdr:row>
      <xdr:rowOff>0</xdr:rowOff>
    </xdr:to>
    <xdr:sp macro="" textlink="">
      <xdr:nvSpPr>
        <xdr:cNvPr id="53" name="Rectangle 1110"/>
        <xdr:cNvSpPr>
          <a:spLocks noChangeArrowheads="1"/>
        </xdr:cNvSpPr>
      </xdr:nvSpPr>
      <xdr:spPr bwMode="auto">
        <a:xfrm>
          <a:off x="9344025" y="234410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59</xdr:row>
      <xdr:rowOff>57150</xdr:rowOff>
    </xdr:from>
    <xdr:to>
      <xdr:col>3</xdr:col>
      <xdr:colOff>0</xdr:colOff>
      <xdr:row>59</xdr:row>
      <xdr:rowOff>609600</xdr:rowOff>
    </xdr:to>
    <xdr:sp macro="" textlink="">
      <xdr:nvSpPr>
        <xdr:cNvPr id="54" name="Rectangle 1110"/>
        <xdr:cNvSpPr>
          <a:spLocks noChangeArrowheads="1"/>
        </xdr:cNvSpPr>
      </xdr:nvSpPr>
      <xdr:spPr bwMode="auto">
        <a:xfrm>
          <a:off x="9344025" y="23498175"/>
          <a:ext cx="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62</xdr:row>
      <xdr:rowOff>57150</xdr:rowOff>
    </xdr:from>
    <xdr:to>
      <xdr:col>3</xdr:col>
      <xdr:colOff>0</xdr:colOff>
      <xdr:row>62</xdr:row>
      <xdr:rowOff>609600</xdr:rowOff>
    </xdr:to>
    <xdr:sp macro="" textlink="">
      <xdr:nvSpPr>
        <xdr:cNvPr id="55" name="Rectangle 1110"/>
        <xdr:cNvSpPr>
          <a:spLocks noChangeArrowheads="1"/>
        </xdr:cNvSpPr>
      </xdr:nvSpPr>
      <xdr:spPr bwMode="auto">
        <a:xfrm>
          <a:off x="9344025" y="24736425"/>
          <a:ext cx="0" cy="552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63</xdr:row>
      <xdr:rowOff>114300</xdr:rowOff>
    </xdr:from>
    <xdr:to>
      <xdr:col>3</xdr:col>
      <xdr:colOff>0</xdr:colOff>
      <xdr:row>63</xdr:row>
      <xdr:rowOff>666750</xdr:rowOff>
    </xdr:to>
    <xdr:sp macro="" textlink="">
      <xdr:nvSpPr>
        <xdr:cNvPr id="56" name="Rectangle 1110"/>
        <xdr:cNvSpPr>
          <a:spLocks noChangeArrowheads="1"/>
        </xdr:cNvSpPr>
      </xdr:nvSpPr>
      <xdr:spPr bwMode="auto">
        <a:xfrm>
          <a:off x="9344025" y="25765125"/>
          <a:ext cx="0" cy="552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1143000</xdr:colOff>
      <xdr:row>47</xdr:row>
      <xdr:rowOff>57150</xdr:rowOff>
    </xdr:from>
    <xdr:to>
      <xdr:col>1</xdr:col>
      <xdr:colOff>1733550</xdr:colOff>
      <xdr:row>47</xdr:row>
      <xdr:rowOff>590550</xdr:rowOff>
    </xdr:to>
    <xdr:pic>
      <xdr:nvPicPr>
        <xdr:cNvPr id="57" name="Afbeelding 1098" descr="Quickfix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91025" y="184404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54</xdr:row>
      <xdr:rowOff>38100</xdr:rowOff>
    </xdr:from>
    <xdr:to>
      <xdr:col>1</xdr:col>
      <xdr:colOff>1498190</xdr:colOff>
      <xdr:row>55</xdr:row>
      <xdr:rowOff>266700</xdr:rowOff>
    </xdr:to>
    <xdr:pic>
      <xdr:nvPicPr>
        <xdr:cNvPr id="58" name="Afbeelding 1331" descr="WALLPLATES_EN_TOEBEHOREN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-4410" t="14403" r="-8035" b="49590"/>
        <a:stretch>
          <a:fillRect/>
        </a:stretch>
      </xdr:blipFill>
      <xdr:spPr bwMode="auto">
        <a:xfrm>
          <a:off x="4371975" y="21040725"/>
          <a:ext cx="37424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1104901</xdr:colOff>
      <xdr:row>48</xdr:row>
      <xdr:rowOff>57150</xdr:rowOff>
    </xdr:from>
    <xdr:to>
      <xdr:col>1</xdr:col>
      <xdr:colOff>1752601</xdr:colOff>
      <xdr:row>49</xdr:row>
      <xdr:rowOff>305686</xdr:rowOff>
    </xdr:to>
    <xdr:pic>
      <xdr:nvPicPr>
        <xdr:cNvPr id="59" name="Picture 1261" descr="GBMU4DSHIELD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52926" y="19088100"/>
          <a:ext cx="647700" cy="562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1257300</xdr:colOff>
      <xdr:row>10</xdr:row>
      <xdr:rowOff>133350</xdr:rowOff>
    </xdr:from>
    <xdr:to>
      <xdr:col>1</xdr:col>
      <xdr:colOff>1943100</xdr:colOff>
      <xdr:row>11</xdr:row>
      <xdr:rowOff>190500</xdr:rowOff>
    </xdr:to>
    <xdr:pic>
      <xdr:nvPicPr>
        <xdr:cNvPr id="60" name="Afbeelding 1033" descr="SAKL QF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05325" y="4876800"/>
          <a:ext cx="6858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23</xdr:row>
      <xdr:rowOff>76200</xdr:rowOff>
    </xdr:from>
    <xdr:to>
      <xdr:col>1</xdr:col>
      <xdr:colOff>1981200</xdr:colOff>
      <xdr:row>26</xdr:row>
      <xdr:rowOff>88412</xdr:rowOff>
    </xdr:to>
    <xdr:pic>
      <xdr:nvPicPr>
        <xdr:cNvPr id="61" name="Afbeelding 1033" descr="SAKL QF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619625" y="9344025"/>
          <a:ext cx="609600" cy="621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1885950</xdr:colOff>
      <xdr:row>26</xdr:row>
      <xdr:rowOff>57150</xdr:rowOff>
    </xdr:from>
    <xdr:to>
      <xdr:col>1</xdr:col>
      <xdr:colOff>2419350</xdr:colOff>
      <xdr:row>27</xdr:row>
      <xdr:rowOff>209550</xdr:rowOff>
    </xdr:to>
    <xdr:pic>
      <xdr:nvPicPr>
        <xdr:cNvPr id="62" name="Afbeelding 1082" descr="SHKM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133975" y="9934575"/>
          <a:ext cx="5334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38</xdr:row>
      <xdr:rowOff>57150</xdr:rowOff>
    </xdr:from>
    <xdr:to>
      <xdr:col>1</xdr:col>
      <xdr:colOff>1017746</xdr:colOff>
      <xdr:row>38</xdr:row>
      <xdr:rowOff>685800</xdr:rowOff>
    </xdr:to>
    <xdr:pic>
      <xdr:nvPicPr>
        <xdr:cNvPr id="63" name="Afbeelding 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24325" y="14068425"/>
          <a:ext cx="14144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39</xdr:row>
      <xdr:rowOff>57150</xdr:rowOff>
    </xdr:from>
    <xdr:to>
      <xdr:col>1</xdr:col>
      <xdr:colOff>2209800</xdr:colOff>
      <xdr:row>39</xdr:row>
      <xdr:rowOff>609600</xdr:rowOff>
    </xdr:to>
    <xdr:pic>
      <xdr:nvPicPr>
        <xdr:cNvPr id="64" name="Afbeelding 138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286375" y="14801850"/>
          <a:ext cx="171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</xdr:row>
      <xdr:rowOff>95250</xdr:rowOff>
    </xdr:from>
    <xdr:to>
      <xdr:col>3</xdr:col>
      <xdr:colOff>0</xdr:colOff>
      <xdr:row>10</xdr:row>
      <xdr:rowOff>495300</xdr:rowOff>
    </xdr:to>
    <xdr:sp macro="" textlink="">
      <xdr:nvSpPr>
        <xdr:cNvPr id="65" name="Rectangle 73"/>
        <xdr:cNvSpPr>
          <a:spLocks noChangeArrowheads="1"/>
        </xdr:cNvSpPr>
      </xdr:nvSpPr>
      <xdr:spPr bwMode="auto">
        <a:xfrm>
          <a:off x="9344025" y="4838700"/>
          <a:ext cx="0" cy="400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1257300</xdr:colOff>
      <xdr:row>17</xdr:row>
      <xdr:rowOff>38100</xdr:rowOff>
    </xdr:from>
    <xdr:to>
      <xdr:col>1</xdr:col>
      <xdr:colOff>2076450</xdr:colOff>
      <xdr:row>18</xdr:row>
      <xdr:rowOff>57150</xdr:rowOff>
    </xdr:to>
    <xdr:pic>
      <xdr:nvPicPr>
        <xdr:cNvPr id="66" name="Afbeelding 1033" descr="SAKL QF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05325" y="7229475"/>
          <a:ext cx="819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</xdr:row>
      <xdr:rowOff>95250</xdr:rowOff>
    </xdr:from>
    <xdr:to>
      <xdr:col>3</xdr:col>
      <xdr:colOff>0</xdr:colOff>
      <xdr:row>17</xdr:row>
      <xdr:rowOff>552450</xdr:rowOff>
    </xdr:to>
    <xdr:sp macro="" textlink="">
      <xdr:nvSpPr>
        <xdr:cNvPr id="67" name="Rectangle 75"/>
        <xdr:cNvSpPr>
          <a:spLocks noChangeArrowheads="1"/>
        </xdr:cNvSpPr>
      </xdr:nvSpPr>
      <xdr:spPr bwMode="auto">
        <a:xfrm>
          <a:off x="9344025" y="7286625"/>
          <a:ext cx="0" cy="457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95250</xdr:rowOff>
    </xdr:from>
    <xdr:to>
      <xdr:col>3</xdr:col>
      <xdr:colOff>0</xdr:colOff>
      <xdr:row>38</xdr:row>
      <xdr:rowOff>723900</xdr:rowOff>
    </xdr:to>
    <xdr:sp macro="" textlink="">
      <xdr:nvSpPr>
        <xdr:cNvPr id="68" name="Rectangle 77"/>
        <xdr:cNvSpPr>
          <a:spLocks noChangeArrowheads="1"/>
        </xdr:cNvSpPr>
      </xdr:nvSpPr>
      <xdr:spPr bwMode="auto">
        <a:xfrm>
          <a:off x="9344025" y="14106525"/>
          <a:ext cx="0" cy="628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39</xdr:row>
      <xdr:rowOff>95250</xdr:rowOff>
    </xdr:from>
    <xdr:to>
      <xdr:col>3</xdr:col>
      <xdr:colOff>0</xdr:colOff>
      <xdr:row>39</xdr:row>
      <xdr:rowOff>733425</xdr:rowOff>
    </xdr:to>
    <xdr:sp macro="" textlink="">
      <xdr:nvSpPr>
        <xdr:cNvPr id="69" name="Rectangle 78"/>
        <xdr:cNvSpPr>
          <a:spLocks noChangeArrowheads="1"/>
        </xdr:cNvSpPr>
      </xdr:nvSpPr>
      <xdr:spPr bwMode="auto">
        <a:xfrm flipH="1">
          <a:off x="9344025" y="14839950"/>
          <a:ext cx="0" cy="619125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40</xdr:row>
      <xdr:rowOff>247650</xdr:rowOff>
    </xdr:from>
    <xdr:to>
      <xdr:col>3</xdr:col>
      <xdr:colOff>0</xdr:colOff>
      <xdr:row>42</xdr:row>
      <xdr:rowOff>0</xdr:rowOff>
    </xdr:to>
    <xdr:sp macro="" textlink="">
      <xdr:nvSpPr>
        <xdr:cNvPr id="70" name="Rectangle 1110"/>
        <xdr:cNvSpPr>
          <a:spLocks noChangeArrowheads="1"/>
        </xdr:cNvSpPr>
      </xdr:nvSpPr>
      <xdr:spPr bwMode="auto">
        <a:xfrm>
          <a:off x="9344025" y="15706725"/>
          <a:ext cx="0" cy="514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1028700</xdr:colOff>
      <xdr:row>45</xdr:row>
      <xdr:rowOff>133350</xdr:rowOff>
    </xdr:from>
    <xdr:to>
      <xdr:col>1</xdr:col>
      <xdr:colOff>1790700</xdr:colOff>
      <xdr:row>47</xdr:row>
      <xdr:rowOff>190500</xdr:rowOff>
    </xdr:to>
    <xdr:pic>
      <xdr:nvPicPr>
        <xdr:cNvPr id="7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76725" y="17907000"/>
          <a:ext cx="762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45</xdr:row>
      <xdr:rowOff>190500</xdr:rowOff>
    </xdr:from>
    <xdr:to>
      <xdr:col>3</xdr:col>
      <xdr:colOff>0</xdr:colOff>
      <xdr:row>46</xdr:row>
      <xdr:rowOff>333375</xdr:rowOff>
    </xdr:to>
    <xdr:sp macro="" textlink="">
      <xdr:nvSpPr>
        <xdr:cNvPr id="72" name="Rectangle 1110"/>
        <xdr:cNvSpPr>
          <a:spLocks noChangeArrowheads="1"/>
        </xdr:cNvSpPr>
      </xdr:nvSpPr>
      <xdr:spPr bwMode="auto">
        <a:xfrm>
          <a:off x="9344025" y="17954625"/>
          <a:ext cx="0" cy="333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26</xdr:row>
      <xdr:rowOff>190500</xdr:rowOff>
    </xdr:from>
    <xdr:to>
      <xdr:col>3</xdr:col>
      <xdr:colOff>0</xdr:colOff>
      <xdr:row>26</xdr:row>
      <xdr:rowOff>781050</xdr:rowOff>
    </xdr:to>
    <xdr:sp macro="" textlink="">
      <xdr:nvSpPr>
        <xdr:cNvPr id="73" name="Text Box 81"/>
        <xdr:cNvSpPr txBox="1">
          <a:spLocks noChangeArrowheads="1"/>
        </xdr:cNvSpPr>
      </xdr:nvSpPr>
      <xdr:spPr bwMode="auto">
        <a:xfrm>
          <a:off x="9344025" y="10067925"/>
          <a:ext cx="0" cy="542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990599</xdr:colOff>
      <xdr:row>40</xdr:row>
      <xdr:rowOff>285750</xdr:rowOff>
    </xdr:from>
    <xdr:to>
      <xdr:col>1</xdr:col>
      <xdr:colOff>2105024</xdr:colOff>
      <xdr:row>43</xdr:row>
      <xdr:rowOff>133350</xdr:rowOff>
    </xdr:to>
    <xdr:pic>
      <xdr:nvPicPr>
        <xdr:cNvPr id="74" name="Afbeelding 1029" descr="LAKZ P1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38624" y="15744825"/>
          <a:ext cx="11144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292100</xdr:colOff>
      <xdr:row>0</xdr:row>
      <xdr:rowOff>622300</xdr:rowOff>
    </xdr:from>
    <xdr:to>
      <xdr:col>1</xdr:col>
      <xdr:colOff>1028700</xdr:colOff>
      <xdr:row>0</xdr:row>
      <xdr:rowOff>1277620</xdr:rowOff>
    </xdr:to>
    <xdr:pic>
      <xdr:nvPicPr>
        <xdr:cNvPr id="76" name="Рисунок 9" descr="N:\01_ПРОДАЖИ\СИСТЕМЫ ОГРАЖДЕНИЙ\14_LOGO PZS\3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9151" t="33759" r="9332" b="31212"/>
        <a:stretch>
          <a:fillRect/>
        </a:stretch>
      </xdr:blipFill>
      <xdr:spPr bwMode="auto">
        <a:xfrm>
          <a:off x="292100" y="622300"/>
          <a:ext cx="407670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0</xdr:row>
      <xdr:rowOff>381000</xdr:rowOff>
    </xdr:from>
    <xdr:to>
      <xdr:col>12</xdr:col>
      <xdr:colOff>2216150</xdr:colOff>
      <xdr:row>0</xdr:row>
      <xdr:rowOff>1352550</xdr:rowOff>
    </xdr:to>
    <xdr:pic>
      <xdr:nvPicPr>
        <xdr:cNvPr id="77" name="Рисунок 76" descr="C:\Users\v.kudinov\Desktop\defi   today\TEL Mail PZ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995900" y="381000"/>
          <a:ext cx="2495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21"/>
  <sheetViews>
    <sheetView showGridLines="0" tabSelected="1" zoomScale="40" zoomScaleNormal="40" zoomScaleSheetLayoutView="40" zoomScalePageLayoutView="10" workbookViewId="0">
      <selection activeCell="AG14" sqref="AG14"/>
    </sheetView>
  </sheetViews>
  <sheetFormatPr defaultColWidth="9.109375" defaultRowHeight="13.2"/>
  <cols>
    <col min="1" max="1" width="53.109375" style="1" customWidth="1"/>
    <col min="2" max="2" width="31.33203125" style="1" bestFit="1" customWidth="1"/>
    <col min="3" max="3" width="26.44140625" style="1" customWidth="1"/>
    <col min="4" max="4" width="28.33203125" style="1" customWidth="1"/>
    <col min="5" max="5" width="28.44140625" style="1" customWidth="1"/>
    <col min="6" max="6" width="73.5546875" style="1" customWidth="1"/>
    <col min="7" max="7" width="28.5546875" style="1" hidden="1" customWidth="1"/>
    <col min="8" max="8" width="79" style="1" customWidth="1"/>
    <col min="9" max="9" width="24" style="1" hidden="1" customWidth="1"/>
    <col min="10" max="10" width="27.109375" style="1" hidden="1" customWidth="1"/>
    <col min="11" max="15" width="19.5546875" style="1" hidden="1" customWidth="1"/>
    <col min="16" max="16" width="45.44140625" style="1" hidden="1" customWidth="1"/>
    <col min="17" max="17" width="18.6640625" style="1" hidden="1" customWidth="1"/>
    <col min="18" max="18" width="9.109375" style="1" customWidth="1"/>
    <col min="19" max="16384" width="9.109375" style="1"/>
  </cols>
  <sheetData>
    <row r="1" spans="1:17">
      <c r="A1" s="614"/>
      <c r="B1" s="614"/>
      <c r="C1" s="614"/>
      <c r="D1" s="614"/>
      <c r="E1" s="614"/>
      <c r="F1" s="614"/>
      <c r="G1" s="614"/>
      <c r="H1" s="614"/>
    </row>
    <row r="2" spans="1:17">
      <c r="A2" s="614"/>
      <c r="B2" s="614"/>
      <c r="C2" s="614"/>
      <c r="D2" s="614"/>
      <c r="E2" s="614"/>
      <c r="F2" s="614"/>
      <c r="G2" s="614"/>
      <c r="H2" s="614"/>
    </row>
    <row r="3" spans="1:17">
      <c r="A3" s="614"/>
      <c r="B3" s="614"/>
      <c r="C3" s="614"/>
      <c r="D3" s="614"/>
      <c r="E3" s="614"/>
      <c r="F3" s="614"/>
      <c r="G3" s="614"/>
      <c r="H3" s="614"/>
    </row>
    <row r="4" spans="1:17">
      <c r="A4" s="614"/>
      <c r="B4" s="614"/>
      <c r="C4" s="614"/>
      <c r="D4" s="614"/>
      <c r="E4" s="614"/>
      <c r="F4" s="614"/>
      <c r="G4" s="614"/>
      <c r="H4" s="614"/>
    </row>
    <row r="5" spans="1:17">
      <c r="A5" s="614"/>
      <c r="B5" s="614"/>
      <c r="C5" s="614"/>
      <c r="D5" s="614"/>
      <c r="E5" s="614"/>
      <c r="F5" s="614"/>
      <c r="G5" s="614"/>
      <c r="H5" s="614"/>
    </row>
    <row r="6" spans="1:17">
      <c r="A6" s="614"/>
      <c r="B6" s="614"/>
      <c r="C6" s="614"/>
      <c r="D6" s="614"/>
      <c r="E6" s="614"/>
      <c r="F6" s="614"/>
      <c r="G6" s="614"/>
      <c r="H6" s="614"/>
    </row>
    <row r="7" spans="1:17">
      <c r="A7" s="614"/>
      <c r="B7" s="614"/>
      <c r="C7" s="614"/>
      <c r="D7" s="614"/>
      <c r="E7" s="614"/>
      <c r="F7" s="614"/>
      <c r="G7" s="614"/>
      <c r="H7" s="614"/>
    </row>
    <row r="8" spans="1:17">
      <c r="A8" s="614"/>
      <c r="B8" s="614"/>
      <c r="C8" s="614"/>
      <c r="D8" s="614"/>
      <c r="E8" s="614"/>
      <c r="F8" s="614"/>
      <c r="G8" s="614"/>
      <c r="H8" s="614"/>
    </row>
    <row r="9" spans="1:17">
      <c r="A9" s="614"/>
      <c r="B9" s="614"/>
      <c r="C9" s="614"/>
      <c r="D9" s="614"/>
      <c r="E9" s="614"/>
      <c r="F9" s="614"/>
      <c r="G9" s="614"/>
      <c r="H9" s="614"/>
    </row>
    <row r="10" spans="1:17" ht="34.5" customHeight="1" thickBot="1">
      <c r="A10" s="615"/>
      <c r="B10" s="615"/>
      <c r="C10" s="615"/>
      <c r="D10" s="615"/>
      <c r="E10" s="615"/>
      <c r="F10" s="615"/>
      <c r="G10" s="615"/>
      <c r="H10" s="615"/>
    </row>
    <row r="11" spans="1:17" ht="42" customHeight="1">
      <c r="A11" s="616" t="s">
        <v>554</v>
      </c>
      <c r="B11" s="616"/>
      <c r="C11" s="616"/>
      <c r="D11" s="616"/>
      <c r="E11" s="616"/>
      <c r="F11" s="616"/>
      <c r="G11" s="616"/>
      <c r="H11" s="616"/>
    </row>
    <row r="12" spans="1:17" customFormat="1" ht="27.6">
      <c r="A12" s="54"/>
      <c r="B12" s="54"/>
      <c r="C12" s="139"/>
      <c r="D12" s="198"/>
      <c r="E12" s="198"/>
      <c r="F12" s="178"/>
      <c r="G12" s="178"/>
      <c r="H12" s="178" t="s">
        <v>503</v>
      </c>
    </row>
    <row r="13" spans="1:17" customFormat="1" ht="185.25" customHeight="1">
      <c r="A13" s="617" t="s">
        <v>164</v>
      </c>
      <c r="B13" s="619" t="s">
        <v>201</v>
      </c>
      <c r="C13" s="619" t="s">
        <v>198</v>
      </c>
      <c r="D13" s="620" t="s">
        <v>76</v>
      </c>
      <c r="E13" s="620" t="s">
        <v>200</v>
      </c>
      <c r="F13" s="620" t="s">
        <v>148</v>
      </c>
      <c r="G13" s="583" t="s">
        <v>570</v>
      </c>
      <c r="H13" s="584" t="s">
        <v>138</v>
      </c>
      <c r="J13" s="630" t="s">
        <v>164</v>
      </c>
      <c r="K13" s="630"/>
      <c r="L13" s="408" t="s">
        <v>203</v>
      </c>
      <c r="M13" s="408" t="s">
        <v>199</v>
      </c>
      <c r="N13" s="408" t="s">
        <v>8</v>
      </c>
      <c r="O13" s="41" t="s">
        <v>200</v>
      </c>
      <c r="P13" s="42" t="s">
        <v>81</v>
      </c>
    </row>
    <row r="14" spans="1:17" customFormat="1" ht="39" customHeight="1">
      <c r="A14" s="618"/>
      <c r="B14" s="619"/>
      <c r="C14" s="619"/>
      <c r="D14" s="621"/>
      <c r="E14" s="621"/>
      <c r="F14" s="621"/>
      <c r="G14" s="585"/>
      <c r="H14" s="586" t="s">
        <v>398</v>
      </c>
      <c r="J14" s="625" t="s">
        <v>223</v>
      </c>
      <c r="K14" s="631" t="s">
        <v>24</v>
      </c>
      <c r="L14" s="15">
        <f>'Эл-ты панельных ограждений'!D12</f>
        <v>1.1000000000000001</v>
      </c>
      <c r="M14" s="569">
        <f>'Эл-ты панельных ограждений'!E12</f>
        <v>2</v>
      </c>
      <c r="N14" s="15">
        <f>'Эл-ты панельных ограждений'!F12</f>
        <v>2.94</v>
      </c>
      <c r="O14" s="606">
        <f>'Эл-ты панельных ограждений'!G12</f>
        <v>96</v>
      </c>
      <c r="P14" s="486">
        <f>'Эл-ты панельных ограждений'!H12</f>
        <v>383</v>
      </c>
    </row>
    <row r="15" spans="1:17" customFormat="1" ht="49.5" customHeight="1">
      <c r="A15" s="622" t="s">
        <v>505</v>
      </c>
      <c r="B15" s="360" t="s">
        <v>467</v>
      </c>
      <c r="C15" s="360">
        <v>3</v>
      </c>
      <c r="D15" s="360">
        <v>7.33</v>
      </c>
      <c r="E15" s="360">
        <v>80</v>
      </c>
      <c r="F15" s="522">
        <f>ROUND(G15*(1-$B$105),2)</f>
        <v>1252</v>
      </c>
      <c r="G15" s="557">
        <v>1252</v>
      </c>
      <c r="H15" s="501">
        <f>ROUND(((F15+P15+($P$53*M15))/2.5),0)</f>
        <v>848</v>
      </c>
      <c r="I15" s="521"/>
      <c r="J15" s="626"/>
      <c r="K15" s="631"/>
      <c r="L15" s="358" t="str">
        <f>'Эл-ты панельных ограждений'!D20</f>
        <v>2,50*</v>
      </c>
      <c r="M15" s="358">
        <f>'Эл-ты панельных ограждений'!E20</f>
        <v>4</v>
      </c>
      <c r="N15" s="359">
        <f>'Эл-ты панельных ограждений'!F20</f>
        <v>6.7</v>
      </c>
      <c r="O15" s="606">
        <f>'Эл-ты панельных ограждений'!G13</f>
        <v>0</v>
      </c>
      <c r="P15" s="487">
        <f>'Эл-ты панельных ограждений'!H20</f>
        <v>740</v>
      </c>
      <c r="Q15" s="528"/>
    </row>
    <row r="16" spans="1:17" customFormat="1" ht="46.5" customHeight="1">
      <c r="A16" s="623"/>
      <c r="B16" s="502" t="s">
        <v>468</v>
      </c>
      <c r="C16" s="502">
        <v>3</v>
      </c>
      <c r="D16" s="502">
        <v>8.1300000000000008</v>
      </c>
      <c r="E16" s="502">
        <v>80</v>
      </c>
      <c r="F16" s="523">
        <f t="shared" ref="F16:F79" si="0">ROUND(G16*(1-$B$105),2)</f>
        <v>1342</v>
      </c>
      <c r="G16" s="558">
        <v>1342</v>
      </c>
      <c r="H16" s="209">
        <f>ROUND(((F16+P16+($P$53*M16))/2.5),0)</f>
        <v>884</v>
      </c>
      <c r="I16" s="521"/>
      <c r="J16" s="626"/>
      <c r="K16" s="631"/>
      <c r="L16" s="357" t="str">
        <f>'Эл-ты панельных ограждений'!D20</f>
        <v>2,50*</v>
      </c>
      <c r="M16" s="358">
        <f>'Эл-ты панельных ограждений'!E20</f>
        <v>4</v>
      </c>
      <c r="N16" s="359">
        <f>'Эл-ты панельных ограждений'!F20</f>
        <v>6.7</v>
      </c>
      <c r="O16" s="606">
        <f>'Эл-ты панельных ограждений'!G14</f>
        <v>0</v>
      </c>
      <c r="P16" s="487">
        <f>'Эл-ты панельных ограждений'!H20</f>
        <v>740</v>
      </c>
    </row>
    <row r="17" spans="1:16" customFormat="1" ht="48" customHeight="1">
      <c r="A17" s="624"/>
      <c r="B17" s="499" t="s">
        <v>469</v>
      </c>
      <c r="C17" s="499">
        <v>4</v>
      </c>
      <c r="D17" s="500">
        <v>9.69</v>
      </c>
      <c r="E17" s="500">
        <v>80</v>
      </c>
      <c r="F17" s="527">
        <f t="shared" si="0"/>
        <v>1494</v>
      </c>
      <c r="G17" s="559">
        <v>1494</v>
      </c>
      <c r="H17" s="475">
        <f>ROUND(((F17+P17+($P$53*M17))/2.5),0)</f>
        <v>945</v>
      </c>
      <c r="I17" s="521"/>
      <c r="J17" s="626"/>
      <c r="K17" s="631"/>
      <c r="L17" s="357" t="str">
        <f>'Эл-ты панельных ограждений'!D20</f>
        <v>2,50*</v>
      </c>
      <c r="M17" s="358">
        <f>'Эл-ты панельных ограждений'!E20</f>
        <v>4</v>
      </c>
      <c r="N17" s="359">
        <f>'Эл-ты панельных ограждений'!F20</f>
        <v>6.7</v>
      </c>
      <c r="O17" s="606">
        <f>'Эл-ты панельных ограждений'!G15</f>
        <v>0</v>
      </c>
      <c r="P17" s="487">
        <f>'Эл-ты панельных ограждений'!H20</f>
        <v>740</v>
      </c>
    </row>
    <row r="18" spans="1:16" customFormat="1" ht="27" customHeight="1">
      <c r="A18" s="622" t="s">
        <v>360</v>
      </c>
      <c r="B18" s="117" t="s">
        <v>195</v>
      </c>
      <c r="C18" s="117">
        <v>2</v>
      </c>
      <c r="D18" s="118">
        <v>4.38</v>
      </c>
      <c r="E18" s="119">
        <v>210</v>
      </c>
      <c r="F18" s="524">
        <f t="shared" si="0"/>
        <v>700</v>
      </c>
      <c r="G18" s="560">
        <v>700</v>
      </c>
      <c r="H18" s="208">
        <f>ROUND(((F18+P14+($P$47*M14))/2.5),0)</f>
        <v>474</v>
      </c>
      <c r="I18" s="521"/>
      <c r="J18" s="626"/>
      <c r="K18" s="631"/>
      <c r="L18" s="172">
        <f>'Эл-ты панельных ограждений'!D13</f>
        <v>1.3</v>
      </c>
      <c r="M18" s="13">
        <f>'Эл-ты панельных ограждений'!E13</f>
        <v>2</v>
      </c>
      <c r="N18" s="16">
        <f>'Эл-ты панельных ограждений'!F13</f>
        <v>3.48</v>
      </c>
      <c r="O18" s="606">
        <f>'Эл-ты панельных ограждений'!G16</f>
        <v>0</v>
      </c>
      <c r="P18" s="487">
        <f>'Эл-ты панельных ограждений'!H13</f>
        <v>453</v>
      </c>
    </row>
    <row r="19" spans="1:16" customFormat="1" ht="27" customHeight="1">
      <c r="A19" s="623"/>
      <c r="B19" s="120" t="s">
        <v>15</v>
      </c>
      <c r="C19" s="120">
        <v>2</v>
      </c>
      <c r="D19" s="121">
        <v>5.42</v>
      </c>
      <c r="E19" s="122">
        <v>70</v>
      </c>
      <c r="F19" s="525">
        <f t="shared" si="0"/>
        <v>865</v>
      </c>
      <c r="G19" s="561">
        <v>865</v>
      </c>
      <c r="H19" s="209">
        <f t="shared" ref="H19:H27" si="1">ROUND(((F19+P18+($P$47*M18))/2.5),0)</f>
        <v>568</v>
      </c>
      <c r="I19" s="521"/>
      <c r="J19" s="626"/>
      <c r="K19" s="631"/>
      <c r="L19" s="172">
        <f>'Эл-ты панельных ограждений'!D14</f>
        <v>1.5</v>
      </c>
      <c r="M19" s="13">
        <f>'Эл-ты панельных ограждений'!E14</f>
        <v>2</v>
      </c>
      <c r="N19" s="16">
        <f>'Эл-ты панельных ограждений'!F14</f>
        <v>4.0199999999999996</v>
      </c>
      <c r="O19" s="606">
        <f>'Эл-ты панельных ограждений'!G17</f>
        <v>0</v>
      </c>
      <c r="P19" s="487">
        <f>'Эл-ты панельных ограждений'!H14</f>
        <v>482</v>
      </c>
    </row>
    <row r="20" spans="1:16" customFormat="1" ht="27" customHeight="1">
      <c r="A20" s="623"/>
      <c r="B20" s="120" t="s">
        <v>16</v>
      </c>
      <c r="C20" s="120">
        <v>2</v>
      </c>
      <c r="D20" s="121">
        <v>6.46</v>
      </c>
      <c r="E20" s="122">
        <v>70</v>
      </c>
      <c r="F20" s="525">
        <f t="shared" si="0"/>
        <v>961</v>
      </c>
      <c r="G20" s="561">
        <v>961</v>
      </c>
      <c r="H20" s="209">
        <f t="shared" si="1"/>
        <v>618</v>
      </c>
      <c r="I20" s="521"/>
      <c r="J20" s="626"/>
      <c r="K20" s="631"/>
      <c r="L20" s="172">
        <f>'Эл-ты панельных ограждений'!D15</f>
        <v>1.7</v>
      </c>
      <c r="M20" s="13">
        <f>'Эл-ты панельных ограждений'!E15</f>
        <v>2</v>
      </c>
      <c r="N20" s="16">
        <f>'Эл-ты панельных ограждений'!F15</f>
        <v>4.5599999999999996</v>
      </c>
      <c r="O20" s="606">
        <f>'Эл-ты панельных ограждений'!G18</f>
        <v>0</v>
      </c>
      <c r="P20" s="487">
        <f>'Эл-ты панельных ограждений'!H15</f>
        <v>547</v>
      </c>
    </row>
    <row r="21" spans="1:16" customFormat="1" ht="27" customHeight="1">
      <c r="A21" s="623"/>
      <c r="B21" s="123" t="s">
        <v>17</v>
      </c>
      <c r="C21" s="124">
        <v>2</v>
      </c>
      <c r="D21" s="125">
        <v>7.49</v>
      </c>
      <c r="E21" s="126">
        <v>70</v>
      </c>
      <c r="F21" s="525">
        <f t="shared" si="0"/>
        <v>1113</v>
      </c>
      <c r="G21" s="561">
        <v>1113</v>
      </c>
      <c r="H21" s="209">
        <f t="shared" si="1"/>
        <v>705</v>
      </c>
      <c r="I21" s="521"/>
      <c r="J21" s="626"/>
      <c r="K21" s="631"/>
      <c r="L21" s="172">
        <f>'Эл-ты панельных ограждений'!D16</f>
        <v>1.9</v>
      </c>
      <c r="M21" s="13">
        <f>'Эл-ты панельных ограждений'!E16</f>
        <v>2</v>
      </c>
      <c r="N21" s="16">
        <f>'Эл-ты панельных ограждений'!F16</f>
        <v>5.09</v>
      </c>
      <c r="O21" s="606">
        <f>'Эл-ты панельных ограждений'!G19</f>
        <v>0</v>
      </c>
      <c r="P21" s="487">
        <f>'Эл-ты панельных ограждений'!H16</f>
        <v>585</v>
      </c>
    </row>
    <row r="22" spans="1:16" customFormat="1" ht="27" customHeight="1">
      <c r="A22" s="623"/>
      <c r="B22" s="123" t="s">
        <v>18</v>
      </c>
      <c r="C22" s="124">
        <v>2</v>
      </c>
      <c r="D22" s="125">
        <v>8.5399999999999991</v>
      </c>
      <c r="E22" s="126">
        <v>70</v>
      </c>
      <c r="F22" s="525">
        <f t="shared" si="0"/>
        <v>1223</v>
      </c>
      <c r="G22" s="561">
        <v>1223</v>
      </c>
      <c r="H22" s="209">
        <f t="shared" si="1"/>
        <v>764</v>
      </c>
      <c r="I22" s="521"/>
      <c r="J22" s="626"/>
      <c r="K22" s="631"/>
      <c r="L22" s="177" t="str">
        <f>'Эл-ты панельных ограждений'!D17</f>
        <v>2,0*</v>
      </c>
      <c r="M22" s="13">
        <f>'Эл-ты панельных ограждений'!E17</f>
        <v>3</v>
      </c>
      <c r="N22" s="16">
        <f>'Эл-ты панельных ограждений'!F17</f>
        <v>5.36</v>
      </c>
      <c r="O22" s="606">
        <f>'Эл-ты панельных ограждений'!G20</f>
        <v>0</v>
      </c>
      <c r="P22" s="487">
        <f>'Эл-ты панельных ограждений'!H17</f>
        <v>616</v>
      </c>
    </row>
    <row r="23" spans="1:16" customFormat="1" ht="27" customHeight="1">
      <c r="A23" s="623"/>
      <c r="B23" s="123" t="s">
        <v>165</v>
      </c>
      <c r="C23" s="124">
        <v>3</v>
      </c>
      <c r="D23" s="125">
        <v>9.52</v>
      </c>
      <c r="E23" s="126">
        <v>70</v>
      </c>
      <c r="F23" s="525">
        <f t="shared" si="0"/>
        <v>1362</v>
      </c>
      <c r="G23" s="561">
        <v>1362</v>
      </c>
      <c r="H23" s="209">
        <f t="shared" si="1"/>
        <v>852</v>
      </c>
      <c r="I23" s="521"/>
      <c r="J23" s="626"/>
      <c r="K23" s="631"/>
      <c r="L23" s="172" t="str">
        <f>'Эл-ты панельных ограждений'!D18</f>
        <v>2,20*</v>
      </c>
      <c r="M23" s="13">
        <f>'Эл-ты панельных ограждений'!E18</f>
        <v>3</v>
      </c>
      <c r="N23" s="16">
        <f>'Эл-ты панельных ограждений'!F18</f>
        <v>5.9</v>
      </c>
      <c r="O23" s="606">
        <f>'Эл-ты панельных ограждений'!G21</f>
        <v>0</v>
      </c>
      <c r="P23" s="487">
        <f>'Эл-ты панельных ограждений'!H18</f>
        <v>678</v>
      </c>
    </row>
    <row r="24" spans="1:16" customFormat="1" ht="27" customHeight="1">
      <c r="A24" s="623"/>
      <c r="B24" s="374" t="s">
        <v>166</v>
      </c>
      <c r="C24" s="124">
        <v>3</v>
      </c>
      <c r="D24" s="125">
        <v>10.55</v>
      </c>
      <c r="E24" s="126">
        <v>70</v>
      </c>
      <c r="F24" s="525">
        <f t="shared" si="0"/>
        <v>1452</v>
      </c>
      <c r="G24" s="561">
        <v>1452</v>
      </c>
      <c r="H24" s="209">
        <f t="shared" si="1"/>
        <v>913</v>
      </c>
      <c r="I24" s="521"/>
      <c r="J24" s="626"/>
      <c r="K24" s="631"/>
      <c r="L24" s="172" t="str">
        <f>'Эл-ты панельных ограждений'!D19</f>
        <v>2,40*</v>
      </c>
      <c r="M24" s="13">
        <f>'Эл-ты панельных ограждений'!E19</f>
        <v>3</v>
      </c>
      <c r="N24" s="16">
        <f>'Эл-ты панельных ограждений'!F19</f>
        <v>6.43</v>
      </c>
      <c r="O24" s="606">
        <f>'Эл-ты панельных ограждений'!G22</f>
        <v>0</v>
      </c>
      <c r="P24" s="487">
        <f>'Эл-ты панельных ограждений'!H19</f>
        <v>736</v>
      </c>
    </row>
    <row r="25" spans="1:16" customFormat="1" ht="27" customHeight="1">
      <c r="A25" s="623"/>
      <c r="B25" s="374" t="s">
        <v>273</v>
      </c>
      <c r="C25" s="124">
        <v>3</v>
      </c>
      <c r="D25" s="125">
        <v>11.59</v>
      </c>
      <c r="E25" s="126">
        <v>70</v>
      </c>
      <c r="F25" s="481">
        <f t="shared" si="0"/>
        <v>1595</v>
      </c>
      <c r="G25" s="562">
        <v>1595</v>
      </c>
      <c r="H25" s="209">
        <f t="shared" si="1"/>
        <v>994</v>
      </c>
      <c r="I25" s="521"/>
      <c r="J25" s="626"/>
      <c r="K25" s="631"/>
      <c r="L25" s="172" t="str">
        <f>'Эл-ты панельных ограждений'!D20</f>
        <v>2,50*</v>
      </c>
      <c r="M25" s="13">
        <f>'Эл-ты панельных ограждений'!E20</f>
        <v>4</v>
      </c>
      <c r="N25" s="16">
        <f>'Эл-ты панельных ограждений'!F20</f>
        <v>6.7</v>
      </c>
      <c r="O25" s="606">
        <f>'Эл-ты панельных ограждений'!G23</f>
        <v>72</v>
      </c>
      <c r="P25" s="487">
        <f>'Эл-ты панельных ограждений'!H20</f>
        <v>740</v>
      </c>
    </row>
    <row r="26" spans="1:16" customFormat="1" ht="27" customHeight="1">
      <c r="A26" s="623"/>
      <c r="B26" s="374" t="s">
        <v>167</v>
      </c>
      <c r="C26" s="124">
        <v>4</v>
      </c>
      <c r="D26" s="125">
        <v>12.57</v>
      </c>
      <c r="E26" s="126">
        <v>70</v>
      </c>
      <c r="F26" s="481">
        <f t="shared" si="0"/>
        <v>1729</v>
      </c>
      <c r="G26" s="562">
        <v>1729</v>
      </c>
      <c r="H26" s="209">
        <f t="shared" si="1"/>
        <v>1069</v>
      </c>
      <c r="I26" s="521"/>
      <c r="J26" s="626"/>
      <c r="K26" s="631"/>
      <c r="L26" s="172">
        <f>'Эл-ты панельных ограждений'!D21</f>
        <v>3</v>
      </c>
      <c r="M26" s="13">
        <f>'Эл-ты панельных ограждений'!E21</f>
        <v>4</v>
      </c>
      <c r="N26" s="16">
        <f>'Эл-ты панельных ограждений'!F21</f>
        <v>8.0399999999999991</v>
      </c>
      <c r="O26" s="606">
        <f>'Эл-ты панельных ограждений'!G24</f>
        <v>0</v>
      </c>
      <c r="P26" s="487">
        <f>'Эл-ты панельных ограждений'!H21</f>
        <v>885</v>
      </c>
    </row>
    <row r="27" spans="1:16" customFormat="1" ht="27" customHeight="1">
      <c r="A27" s="623"/>
      <c r="B27" s="374" t="s">
        <v>22</v>
      </c>
      <c r="C27" s="124">
        <v>4</v>
      </c>
      <c r="D27" s="125">
        <v>13.61</v>
      </c>
      <c r="E27" s="126">
        <v>70</v>
      </c>
      <c r="F27" s="481">
        <f t="shared" si="0"/>
        <v>1872</v>
      </c>
      <c r="G27" s="562">
        <v>1872</v>
      </c>
      <c r="H27" s="209">
        <f t="shared" si="1"/>
        <v>1184</v>
      </c>
      <c r="I27" s="521"/>
      <c r="J27" s="626"/>
      <c r="K27" s="631"/>
      <c r="L27" s="173">
        <f>'Эл-ты панельных ограждений'!D22</f>
        <v>4</v>
      </c>
      <c r="M27" s="18">
        <f>'Эл-ты панельных ограждений'!E22</f>
        <v>6</v>
      </c>
      <c r="N27" s="17">
        <f>'Эл-ты панельных ограждений'!F22</f>
        <v>10.72</v>
      </c>
      <c r="O27" s="606">
        <f>'Эл-ты панельных ограждений'!G25</f>
        <v>96</v>
      </c>
      <c r="P27" s="488">
        <f>'Эл-ты панельных ограждений'!H22</f>
        <v>1180</v>
      </c>
    </row>
    <row r="28" spans="1:16" customFormat="1" ht="27" customHeight="1">
      <c r="A28" s="623"/>
      <c r="B28" s="374" t="s">
        <v>462</v>
      </c>
      <c r="C28" s="124">
        <v>4</v>
      </c>
      <c r="D28" s="125">
        <v>14.65</v>
      </c>
      <c r="E28" s="126">
        <v>70</v>
      </c>
      <c r="F28" s="481">
        <f t="shared" si="0"/>
        <v>2015</v>
      </c>
      <c r="G28" s="562">
        <v>2015</v>
      </c>
      <c r="H28" s="209">
        <f>ROUND(((F28+P26+($P$47*M26))/2.5),0)</f>
        <v>1242</v>
      </c>
      <c r="I28" s="521"/>
      <c r="J28" s="626"/>
      <c r="K28" s="625" t="s">
        <v>557</v>
      </c>
      <c r="L28" s="172">
        <f>'Эл-ты панельных ограждений'!D23</f>
        <v>4</v>
      </c>
      <c r="M28" s="174">
        <f>'Эл-ты панельных ограждений'!E23</f>
        <v>6</v>
      </c>
      <c r="N28" s="16">
        <f>'Эл-ты панельных ограждений'!F23</f>
        <v>15.56</v>
      </c>
      <c r="O28" s="606">
        <f>'Эл-ты панельных ограждений'!G23</f>
        <v>72</v>
      </c>
      <c r="P28" s="487">
        <f>'Эл-ты панельных ограждений'!H23</f>
        <v>1712</v>
      </c>
    </row>
    <row r="29" spans="1:16" customFormat="1" ht="27" customHeight="1">
      <c r="A29" s="623"/>
      <c r="B29" s="374" t="s">
        <v>533</v>
      </c>
      <c r="C29" s="386">
        <v>4</v>
      </c>
      <c r="D29" s="124">
        <v>15.03</v>
      </c>
      <c r="E29" s="126">
        <v>70</v>
      </c>
      <c r="F29" s="481">
        <f t="shared" si="0"/>
        <v>2068</v>
      </c>
      <c r="G29" s="562">
        <v>2068</v>
      </c>
      <c r="H29" s="209">
        <f>ROUND(((F29+P29+($P$47*M29))/2.5),0)</f>
        <v>1846</v>
      </c>
      <c r="I29" s="521"/>
      <c r="J29" s="632"/>
      <c r="K29" s="632"/>
      <c r="L29" s="217">
        <f>'Эл-ты панельных ограждений'!D24</f>
        <v>5</v>
      </c>
      <c r="M29" s="570">
        <f>'Эл-ты панельных ограждений'!E24</f>
        <v>8</v>
      </c>
      <c r="N29" s="514">
        <f>'Эл-ты панельных ограждений'!F24</f>
        <v>19.45</v>
      </c>
      <c r="O29" s="606">
        <f>'Эл-ты панельных ограждений'!G24</f>
        <v>0</v>
      </c>
      <c r="P29" s="511">
        <f>'Эл-ты панельных ограждений'!H24</f>
        <v>2140</v>
      </c>
    </row>
    <row r="30" spans="1:16" customFormat="1" ht="27" customHeight="1">
      <c r="A30" s="623"/>
      <c r="B30" s="374" t="s">
        <v>534</v>
      </c>
      <c r="C30" s="386">
        <v>4</v>
      </c>
      <c r="D30" s="124">
        <v>16.02</v>
      </c>
      <c r="E30" s="126">
        <v>70</v>
      </c>
      <c r="F30" s="481">
        <f t="shared" si="0"/>
        <v>2204</v>
      </c>
      <c r="G30" s="562">
        <v>2204</v>
      </c>
      <c r="H30" s="209">
        <f>ROUND(((F30+P29+($P$47*M29))/2.5),0)</f>
        <v>1901</v>
      </c>
      <c r="I30" s="521"/>
      <c r="J30" s="625" t="s">
        <v>226</v>
      </c>
      <c r="K30" s="625" t="s">
        <v>24</v>
      </c>
      <c r="L30" s="176">
        <f>'Эл-ты панельных ограждений'!D30</f>
        <v>1.1000000000000001</v>
      </c>
      <c r="M30" s="12">
        <f>'Эл-ты панельных ограждений'!E30</f>
        <v>2</v>
      </c>
      <c r="N30" s="15">
        <f>'Эл-ты панельных ограждений'!F30</f>
        <v>2.94</v>
      </c>
      <c r="O30" s="658">
        <f>'Эл-ты панельных ограждений'!G30</f>
        <v>96</v>
      </c>
      <c r="P30" s="486">
        <f>'Эл-ты панельных ограждений'!H30</f>
        <v>500</v>
      </c>
    </row>
    <row r="31" spans="1:16" customFormat="1" ht="27" customHeight="1">
      <c r="A31" s="623"/>
      <c r="B31" s="374" t="s">
        <v>535</v>
      </c>
      <c r="C31" s="386">
        <v>4</v>
      </c>
      <c r="D31" s="124">
        <v>17.02</v>
      </c>
      <c r="E31" s="126">
        <v>70</v>
      </c>
      <c r="F31" s="481">
        <f t="shared" si="0"/>
        <v>2435</v>
      </c>
      <c r="G31" s="562">
        <v>2435</v>
      </c>
      <c r="H31" s="209">
        <f>ROUND(((F31+P29+($P$47*M29))/2.5),0)</f>
        <v>1993</v>
      </c>
      <c r="I31" s="521"/>
      <c r="J31" s="626"/>
      <c r="K31" s="626"/>
      <c r="L31" s="172">
        <f>'Эл-ты панельных ограждений'!D31</f>
        <v>1.3</v>
      </c>
      <c r="M31" s="13">
        <f>'Эл-ты панельных ограждений'!E31</f>
        <v>2</v>
      </c>
      <c r="N31" s="16">
        <f>'Эл-ты панельных ограждений'!F31</f>
        <v>3.48</v>
      </c>
      <c r="O31" s="659"/>
      <c r="P31" s="487">
        <f>'Эл-ты панельных ограждений'!H31</f>
        <v>591</v>
      </c>
    </row>
    <row r="32" spans="1:16" customFormat="1" ht="27" customHeight="1">
      <c r="A32" s="624"/>
      <c r="B32" s="374" t="s">
        <v>536</v>
      </c>
      <c r="C32" s="386">
        <v>5</v>
      </c>
      <c r="D32" s="124">
        <v>18.95</v>
      </c>
      <c r="E32" s="126">
        <v>70</v>
      </c>
      <c r="F32" s="481">
        <f t="shared" si="0"/>
        <v>2710</v>
      </c>
      <c r="G32" s="562">
        <v>2710</v>
      </c>
      <c r="H32" s="209">
        <f t="shared" ref="H32:H39" si="2">ROUND(((F32+P29+($P$47*M29))/2.5),0)</f>
        <v>2103</v>
      </c>
      <c r="I32" s="521"/>
      <c r="J32" s="626"/>
      <c r="K32" s="626"/>
      <c r="L32" s="174" t="str">
        <f>'Эл-ты панельных ограждений'!D32</f>
        <v>1,50*</v>
      </c>
      <c r="M32" s="13">
        <f>'Эл-ты панельных ограждений'!E32</f>
        <v>2</v>
      </c>
      <c r="N32" s="16">
        <f>'Эл-ты панельных ограждений'!F32</f>
        <v>4.0199999999999996</v>
      </c>
      <c r="O32" s="659"/>
      <c r="P32" s="487">
        <f>'Эл-ты панельных ограждений'!H32</f>
        <v>663</v>
      </c>
    </row>
    <row r="33" spans="1:16" customFormat="1" ht="27" customHeight="1">
      <c r="A33" s="611" t="s">
        <v>133</v>
      </c>
      <c r="B33" s="117" t="s">
        <v>547</v>
      </c>
      <c r="C33" s="117">
        <v>2</v>
      </c>
      <c r="D33" s="118">
        <v>4.46</v>
      </c>
      <c r="E33" s="119">
        <v>210</v>
      </c>
      <c r="F33" s="503">
        <f t="shared" si="0"/>
        <v>761</v>
      </c>
      <c r="G33" s="563">
        <v>761</v>
      </c>
      <c r="H33" s="208">
        <f t="shared" si="2"/>
        <v>545</v>
      </c>
      <c r="I33" s="521"/>
      <c r="J33" s="626"/>
      <c r="K33" s="626"/>
      <c r="L33" s="172">
        <f>'Эл-ты панельных ограждений'!D33</f>
        <v>1.7</v>
      </c>
      <c r="M33" s="13">
        <f>'Эл-ты панельных ограждений'!E33</f>
        <v>2</v>
      </c>
      <c r="N33" s="16">
        <f>'Эл-ты панельных ограждений'!F33</f>
        <v>4.5599999999999996</v>
      </c>
      <c r="O33" s="659"/>
      <c r="P33" s="487">
        <f>'Эл-ты панельных ограждений'!H33</f>
        <v>752</v>
      </c>
    </row>
    <row r="34" spans="1:16" customFormat="1" ht="27" customHeight="1">
      <c r="A34" s="612"/>
      <c r="B34" s="120" t="s">
        <v>15</v>
      </c>
      <c r="C34" s="120">
        <v>2</v>
      </c>
      <c r="D34" s="121">
        <v>5.52</v>
      </c>
      <c r="E34" s="122">
        <v>70</v>
      </c>
      <c r="F34" s="481">
        <f t="shared" si="0"/>
        <v>942</v>
      </c>
      <c r="G34" s="562">
        <v>942</v>
      </c>
      <c r="H34" s="209">
        <f t="shared" si="2"/>
        <v>654</v>
      </c>
      <c r="I34" s="521"/>
      <c r="J34" s="626"/>
      <c r="K34" s="626"/>
      <c r="L34" s="172">
        <f>'Эл-ты панельных ограждений'!D34</f>
        <v>1.9</v>
      </c>
      <c r="M34" s="13">
        <f>'Эл-ты панельных ограждений'!E34</f>
        <v>2</v>
      </c>
      <c r="N34" s="16">
        <f>'Эл-ты панельных ограждений'!F34</f>
        <v>5.09</v>
      </c>
      <c r="O34" s="659"/>
      <c r="P34" s="487">
        <f>'Эл-ты панельных ограждений'!H34</f>
        <v>839</v>
      </c>
    </row>
    <row r="35" spans="1:16" customFormat="1" ht="27" customHeight="1">
      <c r="A35" s="612"/>
      <c r="B35" s="120" t="s">
        <v>548</v>
      </c>
      <c r="C35" s="120">
        <v>2</v>
      </c>
      <c r="D35" s="121">
        <v>6.58</v>
      </c>
      <c r="E35" s="122">
        <v>70</v>
      </c>
      <c r="F35" s="481">
        <f t="shared" si="0"/>
        <v>1052</v>
      </c>
      <c r="G35" s="562">
        <v>1052</v>
      </c>
      <c r="H35" s="209">
        <f t="shared" si="2"/>
        <v>727</v>
      </c>
      <c r="I35" s="521"/>
      <c r="J35" s="626"/>
      <c r="K35" s="626"/>
      <c r="L35" s="172" t="str">
        <f>'Эл-ты панельных ограждений'!D35</f>
        <v>2,0**</v>
      </c>
      <c r="M35" s="13">
        <f>'Эл-ты панельных ограждений'!E35</f>
        <v>3</v>
      </c>
      <c r="N35" s="16">
        <f>'Эл-ты панельных ограждений'!F35</f>
        <v>5.36</v>
      </c>
      <c r="O35" s="659"/>
      <c r="P35" s="487">
        <f>'Эл-ты панельных ограждений'!H35</f>
        <v>857</v>
      </c>
    </row>
    <row r="36" spans="1:16" customFormat="1" ht="27" customHeight="1">
      <c r="A36" s="612"/>
      <c r="B36" s="123" t="s">
        <v>17</v>
      </c>
      <c r="C36" s="124">
        <v>2</v>
      </c>
      <c r="D36" s="125">
        <v>7.64</v>
      </c>
      <c r="E36" s="122">
        <v>70</v>
      </c>
      <c r="F36" s="481">
        <f t="shared" si="0"/>
        <v>1219</v>
      </c>
      <c r="G36" s="562">
        <v>1219</v>
      </c>
      <c r="H36" s="209">
        <f t="shared" si="2"/>
        <v>829</v>
      </c>
      <c r="I36" s="521"/>
      <c r="J36" s="626"/>
      <c r="K36" s="626"/>
      <c r="L36" s="172" t="str">
        <f>'Эл-ты панельных ограждений'!D36</f>
        <v>2,20**</v>
      </c>
      <c r="M36" s="13">
        <f>'Эл-ты панельных ограждений'!E36</f>
        <v>3</v>
      </c>
      <c r="N36" s="16">
        <f>'Эл-ты панельных ограждений'!F36</f>
        <v>5.9</v>
      </c>
      <c r="O36" s="659"/>
      <c r="P36" s="487">
        <f>'Эл-ты панельных ограждений'!H36</f>
        <v>944</v>
      </c>
    </row>
    <row r="37" spans="1:16" customFormat="1" ht="27" customHeight="1">
      <c r="A37" s="612"/>
      <c r="B37" s="123" t="s">
        <v>18</v>
      </c>
      <c r="C37" s="124">
        <v>2</v>
      </c>
      <c r="D37" s="125">
        <v>8.6999999999999993</v>
      </c>
      <c r="E37" s="126">
        <v>70</v>
      </c>
      <c r="F37" s="481">
        <f t="shared" si="0"/>
        <v>1340</v>
      </c>
      <c r="G37" s="562">
        <v>1340</v>
      </c>
      <c r="H37" s="209">
        <f t="shared" si="2"/>
        <v>912</v>
      </c>
      <c r="I37" s="521"/>
      <c r="J37" s="626"/>
      <c r="K37" s="626"/>
      <c r="L37" s="172">
        <f>'Эл-ты панельных ограждений'!D37</f>
        <v>2.4</v>
      </c>
      <c r="M37" s="13">
        <f>'Эл-ты панельных ограждений'!E37</f>
        <v>3</v>
      </c>
      <c r="N37" s="16">
        <f>'Эл-ты панельных ограждений'!F37</f>
        <v>6.43</v>
      </c>
      <c r="O37" s="659"/>
      <c r="P37" s="487">
        <f>'Эл-ты панельных ограждений'!H37</f>
        <v>998</v>
      </c>
    </row>
    <row r="38" spans="1:16" customFormat="1" ht="27" customHeight="1">
      <c r="A38" s="612"/>
      <c r="B38" s="123" t="s">
        <v>470</v>
      </c>
      <c r="C38" s="124">
        <v>3</v>
      </c>
      <c r="D38" s="125">
        <v>9.69</v>
      </c>
      <c r="E38" s="126">
        <v>70</v>
      </c>
      <c r="F38" s="481">
        <f t="shared" si="0"/>
        <v>1494</v>
      </c>
      <c r="G38" s="562">
        <v>1494</v>
      </c>
      <c r="H38" s="209">
        <f t="shared" si="2"/>
        <v>1002</v>
      </c>
      <c r="I38" s="521"/>
      <c r="J38" s="626"/>
      <c r="K38" s="626"/>
      <c r="L38" s="172" t="str">
        <f>'Эл-ты панельных ограждений'!D38</f>
        <v>2,50***</v>
      </c>
      <c r="M38" s="13">
        <f>'Эл-ты панельных ограждений'!E38</f>
        <v>4</v>
      </c>
      <c r="N38" s="16">
        <f>'Эл-ты панельных ограждений'!F38</f>
        <v>6.7</v>
      </c>
      <c r="O38" s="659"/>
      <c r="P38" s="487">
        <f>'Эл-ты панельных ограждений'!H38</f>
        <v>1039</v>
      </c>
    </row>
    <row r="39" spans="1:16" customFormat="1" ht="27" customHeight="1">
      <c r="A39" s="612"/>
      <c r="B39" s="123" t="s">
        <v>471</v>
      </c>
      <c r="C39" s="124">
        <v>3</v>
      </c>
      <c r="D39" s="125">
        <v>10.75</v>
      </c>
      <c r="E39" s="126">
        <v>70</v>
      </c>
      <c r="F39" s="481">
        <f t="shared" si="0"/>
        <v>1597</v>
      </c>
      <c r="G39" s="562">
        <v>1597</v>
      </c>
      <c r="H39" s="209">
        <f t="shared" si="2"/>
        <v>1078</v>
      </c>
      <c r="I39" s="521"/>
      <c r="J39" s="626"/>
      <c r="K39" s="626"/>
      <c r="L39" s="174" t="str">
        <f>'Эл-ты панельных ограждений'!D39</f>
        <v>3,0***</v>
      </c>
      <c r="M39" s="13">
        <f>'Эл-ты панельных ограждений'!E39</f>
        <v>4</v>
      </c>
      <c r="N39" s="16">
        <f>'Эл-ты панельных ограждений'!F39</f>
        <v>8.0399999999999991</v>
      </c>
      <c r="O39" s="659"/>
      <c r="P39" s="487">
        <f>'Эл-ты панельных ограждений'!H39</f>
        <v>1246</v>
      </c>
    </row>
    <row r="40" spans="1:16" customFormat="1" ht="27" customHeight="1">
      <c r="A40" s="612"/>
      <c r="B40" s="587" t="s">
        <v>472</v>
      </c>
      <c r="C40" s="588">
        <v>3</v>
      </c>
      <c r="D40" s="589">
        <v>12.87</v>
      </c>
      <c r="E40" s="590">
        <v>70</v>
      </c>
      <c r="F40" s="590">
        <f t="shared" si="0"/>
        <v>1912</v>
      </c>
      <c r="G40" s="590">
        <v>1912</v>
      </c>
      <c r="H40" s="591">
        <f>ROUND(((F40+P36+($P$47*M36))/3),0)</f>
        <v>1003</v>
      </c>
      <c r="I40" s="521"/>
      <c r="J40" s="626"/>
      <c r="K40" s="626"/>
      <c r="L40" s="571" t="str">
        <f>'Эл-ты панельных ограждений'!D40</f>
        <v>4,0***</v>
      </c>
      <c r="M40" s="572">
        <f>'Эл-ты панельных ограждений'!E40</f>
        <v>6</v>
      </c>
      <c r="N40" s="573">
        <f>'Эл-ты панельных ограждений'!F40</f>
        <v>10.72</v>
      </c>
      <c r="O40" s="659"/>
      <c r="P40" s="574">
        <f>'Эл-ты панельных ограждений'!H40</f>
        <v>1661</v>
      </c>
    </row>
    <row r="41" spans="1:16" customFormat="1" ht="27" customHeight="1">
      <c r="A41" s="612"/>
      <c r="B41" s="123" t="s">
        <v>273</v>
      </c>
      <c r="C41" s="124">
        <v>3</v>
      </c>
      <c r="D41" s="125">
        <v>11.81</v>
      </c>
      <c r="E41" s="126">
        <v>70</v>
      </c>
      <c r="F41" s="481">
        <f t="shared" si="0"/>
        <v>1756</v>
      </c>
      <c r="G41" s="562">
        <v>1756</v>
      </c>
      <c r="H41" s="209">
        <f>ROUND(((F41+P37+($P$47*M37))/2.5),0)</f>
        <v>1163</v>
      </c>
      <c r="I41" s="521"/>
      <c r="J41" s="626"/>
      <c r="K41" s="625" t="s">
        <v>282</v>
      </c>
      <c r="L41" s="569" t="str">
        <f>'Эл-ты панельных ограждений'!D28</f>
        <v>4,0**</v>
      </c>
      <c r="M41" s="12">
        <f>'Эл-ты панельных ограждений'!E28</f>
        <v>6</v>
      </c>
      <c r="N41" s="15">
        <f>'Эл-ты панельных ограждений'!F28</f>
        <v>18.2</v>
      </c>
      <c r="O41" s="607">
        <f>'Эл-ты панельных ограждений'!G28</f>
        <v>72</v>
      </c>
      <c r="P41" s="486">
        <f>'Эл-ты панельных ограждений'!H28</f>
        <v>2654</v>
      </c>
    </row>
    <row r="42" spans="1:16" customFormat="1" ht="27" customHeight="1">
      <c r="A42" s="612"/>
      <c r="B42" s="123" t="s">
        <v>473</v>
      </c>
      <c r="C42" s="124">
        <v>4</v>
      </c>
      <c r="D42" s="125">
        <v>12.81</v>
      </c>
      <c r="E42" s="126">
        <v>70</v>
      </c>
      <c r="F42" s="481">
        <f t="shared" si="0"/>
        <v>1903</v>
      </c>
      <c r="G42" s="562">
        <v>1903</v>
      </c>
      <c r="H42" s="209">
        <f>ROUND(((F42+P38+($P$47*M38))/2.5),0)</f>
        <v>1258</v>
      </c>
      <c r="I42" s="521"/>
      <c r="J42" s="626"/>
      <c r="K42" s="632"/>
      <c r="L42" s="175" t="str">
        <f>'Эл-ты панельных ограждений'!D29</f>
        <v>5,0**</v>
      </c>
      <c r="M42" s="18">
        <f>'Эл-ты панельных ограждений'!E29</f>
        <v>8</v>
      </c>
      <c r="N42" s="17">
        <f>'Эл-ты панельных ограждений'!F29</f>
        <v>22.75</v>
      </c>
      <c r="O42" s="608"/>
      <c r="P42" s="488">
        <f>'Эл-ты панельных ограждений'!H29</f>
        <v>3317</v>
      </c>
    </row>
    <row r="43" spans="1:16" customFormat="1" ht="27" customHeight="1">
      <c r="A43" s="612"/>
      <c r="B43" s="587" t="s">
        <v>474</v>
      </c>
      <c r="C43" s="588">
        <v>4</v>
      </c>
      <c r="D43" s="589">
        <v>15.33</v>
      </c>
      <c r="E43" s="590">
        <v>70</v>
      </c>
      <c r="F43" s="590">
        <f t="shared" si="0"/>
        <v>2277</v>
      </c>
      <c r="G43" s="590">
        <v>2277</v>
      </c>
      <c r="H43" s="591">
        <f>ROUND(((F43+P38+($P$47*M38))/3),0)</f>
        <v>1173</v>
      </c>
      <c r="I43" s="521"/>
      <c r="J43" s="626"/>
      <c r="K43" s="626" t="s">
        <v>284</v>
      </c>
      <c r="L43" s="357">
        <f>'Эл-ты панельных ограждений'!D41</f>
        <v>4</v>
      </c>
      <c r="M43" s="358">
        <f>'Эл-ты панельных ограждений'!E41</f>
        <v>6</v>
      </c>
      <c r="N43" s="359">
        <f>'Эл-ты панельных ограждений'!F41</f>
        <v>20</v>
      </c>
      <c r="O43" s="644">
        <f>'Эл-ты панельных ограждений'!G41</f>
        <v>54</v>
      </c>
      <c r="P43" s="575">
        <f>'Эл-ты панельных ограждений'!H41</f>
        <v>2897</v>
      </c>
    </row>
    <row r="44" spans="1:16" customFormat="1" ht="27" customHeight="1">
      <c r="A44" s="612"/>
      <c r="B44" s="123" t="s">
        <v>22</v>
      </c>
      <c r="C44" s="124">
        <v>4</v>
      </c>
      <c r="D44" s="125">
        <v>13.87</v>
      </c>
      <c r="E44" s="126">
        <v>70</v>
      </c>
      <c r="F44" s="481">
        <f t="shared" si="0"/>
        <v>2061</v>
      </c>
      <c r="G44" s="562">
        <v>2061</v>
      </c>
      <c r="H44" s="209">
        <f>ROUND(((F44+P39+($P$47*M39))/2.5),0)</f>
        <v>1404</v>
      </c>
      <c r="I44" s="521"/>
      <c r="J44" s="626"/>
      <c r="K44" s="632"/>
      <c r="L44" s="173">
        <f>'Эл-ты панельных ограждений'!D42</f>
        <v>5</v>
      </c>
      <c r="M44" s="18">
        <f>'Эл-ты панельных ограждений'!E42</f>
        <v>8</v>
      </c>
      <c r="N44" s="17">
        <f>'Эл-ты панельных ограждений'!F42</f>
        <v>25</v>
      </c>
      <c r="O44" s="608"/>
      <c r="P44" s="488">
        <f>'Эл-ты панельных ограждений'!H42</f>
        <v>3698</v>
      </c>
    </row>
    <row r="45" spans="1:16" customFormat="1" ht="27" customHeight="1">
      <c r="A45" s="612"/>
      <c r="B45" s="123" t="s">
        <v>549</v>
      </c>
      <c r="C45" s="124">
        <v>4</v>
      </c>
      <c r="D45" s="125">
        <v>14.93</v>
      </c>
      <c r="E45" s="126">
        <v>70</v>
      </c>
      <c r="F45" s="481">
        <f t="shared" si="0"/>
        <v>2218</v>
      </c>
      <c r="G45" s="562">
        <v>2218</v>
      </c>
      <c r="H45" s="209">
        <f>ROUND(((F45+P39+($P$47*M39))/2.5),0)</f>
        <v>1467</v>
      </c>
      <c r="I45" s="521"/>
      <c r="J45" s="626"/>
      <c r="K45" s="625" t="s">
        <v>557</v>
      </c>
      <c r="L45" s="172" t="str">
        <f>'Эл-ты панельных ограждений'!D45</f>
        <v>4,0**</v>
      </c>
      <c r="M45" s="13">
        <f>'Эл-ты панельных ограждений'!E45</f>
        <v>6</v>
      </c>
      <c r="N45" s="16">
        <f>'Эл-ты панельных ограждений'!F45</f>
        <v>15.56</v>
      </c>
      <c r="O45" s="607">
        <f>'Эл-ты панельных ограждений'!G45</f>
        <v>72</v>
      </c>
      <c r="P45" s="487">
        <f>'Эл-ты панельных ограждений'!H45</f>
        <v>2412</v>
      </c>
    </row>
    <row r="46" spans="1:16" customFormat="1" ht="30" customHeight="1">
      <c r="A46" s="612"/>
      <c r="B46" s="374" t="s">
        <v>533</v>
      </c>
      <c r="C46" s="126">
        <v>4</v>
      </c>
      <c r="D46" s="124">
        <v>15.31</v>
      </c>
      <c r="E46" s="126">
        <v>70</v>
      </c>
      <c r="F46" s="481">
        <f t="shared" si="0"/>
        <v>2275</v>
      </c>
      <c r="G46" s="562">
        <v>2275</v>
      </c>
      <c r="H46" s="209">
        <f>ROUND(((F46+P46+($P$47*M46))/2.5),0)</f>
        <v>2279</v>
      </c>
      <c r="I46" s="521"/>
      <c r="J46" s="632"/>
      <c r="K46" s="632"/>
      <c r="L46" s="173" t="str">
        <f>'Эл-ты панельных ограждений'!D46</f>
        <v>5,0**</v>
      </c>
      <c r="M46" s="18">
        <f>'Эл-ты панельных ограждений'!E46</f>
        <v>8</v>
      </c>
      <c r="N46" s="17">
        <f>'Эл-ты панельных ограждений'!F46</f>
        <v>19.45</v>
      </c>
      <c r="O46" s="608"/>
      <c r="P46" s="488">
        <f>'Эл-ты панельных ограждений'!H46</f>
        <v>3015</v>
      </c>
    </row>
    <row r="47" spans="1:16" customFormat="1" ht="30" customHeight="1">
      <c r="A47" s="612"/>
      <c r="B47" s="374" t="s">
        <v>534</v>
      </c>
      <c r="C47" s="386">
        <v>4</v>
      </c>
      <c r="D47" s="384">
        <v>16.32</v>
      </c>
      <c r="E47" s="386">
        <v>70</v>
      </c>
      <c r="F47" s="481">
        <f t="shared" si="0"/>
        <v>2424</v>
      </c>
      <c r="G47" s="562">
        <v>2424</v>
      </c>
      <c r="H47" s="209">
        <f>ROUND(((F47+P46+($P$47*M46))/2.5),0)</f>
        <v>2339</v>
      </c>
      <c r="I47" s="521"/>
      <c r="J47" s="646" t="s">
        <v>34</v>
      </c>
      <c r="K47" s="647"/>
      <c r="L47" s="648"/>
      <c r="M47" s="636" t="s">
        <v>335</v>
      </c>
      <c r="N47" s="655">
        <f>'Эл-ты панельных ограждений'!F53</f>
        <v>0.05</v>
      </c>
      <c r="O47" s="658">
        <f>'Эл-ты панельных ограждений'!G53</f>
        <v>100</v>
      </c>
      <c r="P47" s="633">
        <f>'Эл-ты панельных ограждений'!H53</f>
        <v>51</v>
      </c>
    </row>
    <row r="48" spans="1:16" customFormat="1" ht="30" customHeight="1">
      <c r="A48" s="612"/>
      <c r="B48" s="374" t="s">
        <v>535</v>
      </c>
      <c r="C48" s="126">
        <v>4</v>
      </c>
      <c r="D48" s="124">
        <v>17.34</v>
      </c>
      <c r="E48" s="126">
        <v>70</v>
      </c>
      <c r="F48" s="481">
        <f t="shared" si="0"/>
        <v>2671</v>
      </c>
      <c r="G48" s="562">
        <v>2671</v>
      </c>
      <c r="H48" s="209">
        <f>ROUND(((F48+P46+($P$47*M46))/2.5),0)</f>
        <v>2438</v>
      </c>
      <c r="I48" s="521"/>
      <c r="J48" s="649"/>
      <c r="K48" s="650"/>
      <c r="L48" s="651"/>
      <c r="M48" s="645"/>
      <c r="N48" s="656"/>
      <c r="O48" s="659"/>
      <c r="P48" s="634"/>
    </row>
    <row r="49" spans="1:16" customFormat="1" ht="30" customHeight="1">
      <c r="A49" s="613"/>
      <c r="B49" s="374" t="s">
        <v>536</v>
      </c>
      <c r="C49" s="126">
        <v>5</v>
      </c>
      <c r="D49" s="124">
        <v>19.3</v>
      </c>
      <c r="E49" s="126">
        <v>70</v>
      </c>
      <c r="F49" s="481">
        <f t="shared" si="0"/>
        <v>2972</v>
      </c>
      <c r="G49" s="562">
        <v>2972</v>
      </c>
      <c r="H49" s="209">
        <f>ROUND(((F49+P46+($P$47*M46))/2.5),0)</f>
        <v>2558</v>
      </c>
      <c r="I49" s="521"/>
      <c r="J49" s="649"/>
      <c r="K49" s="650"/>
      <c r="L49" s="651"/>
      <c r="M49" s="645"/>
      <c r="N49" s="656"/>
      <c r="O49" s="659"/>
      <c r="P49" s="634"/>
    </row>
    <row r="50" spans="1:16" customFormat="1" ht="27" customHeight="1">
      <c r="A50" s="622" t="s">
        <v>443</v>
      </c>
      <c r="B50" s="117" t="s">
        <v>9</v>
      </c>
      <c r="C50" s="117">
        <v>2</v>
      </c>
      <c r="D50" s="118">
        <v>6.98</v>
      </c>
      <c r="E50" s="119">
        <v>180</v>
      </c>
      <c r="F50" s="524">
        <f t="shared" si="0"/>
        <v>1060</v>
      </c>
      <c r="G50" s="560">
        <v>1060</v>
      </c>
      <c r="H50" s="208">
        <f>ROUND(((F50+P14+($P$47*M14))/2.5),0)</f>
        <v>618</v>
      </c>
      <c r="I50" s="521"/>
      <c r="J50" s="649"/>
      <c r="K50" s="650"/>
      <c r="L50" s="651"/>
      <c r="M50" s="645"/>
      <c r="N50" s="656"/>
      <c r="O50" s="659"/>
      <c r="P50" s="634"/>
    </row>
    <row r="51" spans="1:16" customFormat="1" ht="27" customHeight="1">
      <c r="A51" s="623"/>
      <c r="B51" s="120" t="s">
        <v>15</v>
      </c>
      <c r="C51" s="120">
        <v>2</v>
      </c>
      <c r="D51" s="121">
        <v>8.64</v>
      </c>
      <c r="E51" s="122">
        <v>60</v>
      </c>
      <c r="F51" s="525">
        <f t="shared" si="0"/>
        <v>1313</v>
      </c>
      <c r="G51" s="561">
        <v>1313</v>
      </c>
      <c r="H51" s="209">
        <f t="shared" ref="H51:H59" si="3">ROUND(((F51+P18+($P$47*M18))/2.5),0)</f>
        <v>747</v>
      </c>
      <c r="I51" s="521"/>
      <c r="J51" s="649"/>
      <c r="K51" s="650"/>
      <c r="L51" s="651"/>
      <c r="M51" s="645"/>
      <c r="N51" s="656"/>
      <c r="O51" s="659"/>
      <c r="P51" s="634"/>
    </row>
    <row r="52" spans="1:16" customFormat="1" ht="27" customHeight="1">
      <c r="A52" s="623"/>
      <c r="B52" s="120" t="s">
        <v>16</v>
      </c>
      <c r="C52" s="120">
        <v>2</v>
      </c>
      <c r="D52" s="121">
        <v>10.3</v>
      </c>
      <c r="E52" s="122">
        <v>60</v>
      </c>
      <c r="F52" s="525">
        <f t="shared" si="0"/>
        <v>1452</v>
      </c>
      <c r="G52" s="561">
        <v>1452</v>
      </c>
      <c r="H52" s="209">
        <f t="shared" si="3"/>
        <v>814</v>
      </c>
      <c r="I52" s="521"/>
      <c r="J52" s="652"/>
      <c r="K52" s="653"/>
      <c r="L52" s="654"/>
      <c r="M52" s="637"/>
      <c r="N52" s="657"/>
      <c r="O52" s="660"/>
      <c r="P52" s="635"/>
    </row>
    <row r="53" spans="1:16" customFormat="1" ht="27" customHeight="1">
      <c r="A53" s="623"/>
      <c r="B53" s="123" t="s">
        <v>17</v>
      </c>
      <c r="C53" s="124">
        <v>2</v>
      </c>
      <c r="D53" s="125">
        <v>11.96</v>
      </c>
      <c r="E53" s="126">
        <v>60</v>
      </c>
      <c r="F53" s="525">
        <f t="shared" si="0"/>
        <v>1685</v>
      </c>
      <c r="G53" s="561">
        <v>1685</v>
      </c>
      <c r="H53" s="209">
        <f t="shared" si="3"/>
        <v>934</v>
      </c>
      <c r="I53" s="521"/>
      <c r="J53" s="638" t="s">
        <v>447</v>
      </c>
      <c r="K53" s="639"/>
      <c r="L53" s="640"/>
      <c r="M53" s="636" t="s">
        <v>335</v>
      </c>
      <c r="N53" s="609">
        <f>'Эл-ты панельных ограждений'!F56</f>
        <v>7.0000000000000007E-2</v>
      </c>
      <c r="O53" s="609">
        <f>'Эл-ты панельных ограждений'!G57</f>
        <v>100</v>
      </c>
      <c r="P53" s="633">
        <f>'Эл-ты панельных ограждений'!H56</f>
        <v>32</v>
      </c>
    </row>
    <row r="54" spans="1:16" customFormat="1" ht="27" customHeight="1">
      <c r="A54" s="623"/>
      <c r="B54" s="123" t="s">
        <v>18</v>
      </c>
      <c r="C54" s="124">
        <v>2</v>
      </c>
      <c r="D54" s="125">
        <v>13.62</v>
      </c>
      <c r="E54" s="126">
        <v>60</v>
      </c>
      <c r="F54" s="525">
        <f t="shared" si="0"/>
        <v>1844</v>
      </c>
      <c r="G54" s="561">
        <v>1844</v>
      </c>
      <c r="H54" s="209">
        <f t="shared" si="3"/>
        <v>1012</v>
      </c>
      <c r="I54" s="521"/>
      <c r="J54" s="641"/>
      <c r="K54" s="642"/>
      <c r="L54" s="643"/>
      <c r="M54" s="637"/>
      <c r="N54" s="610"/>
      <c r="O54" s="610"/>
      <c r="P54" s="635"/>
    </row>
    <row r="55" spans="1:16" customFormat="1" ht="27" customHeight="1">
      <c r="A55" s="623"/>
      <c r="B55" s="123" t="s">
        <v>165</v>
      </c>
      <c r="C55" s="124">
        <v>3</v>
      </c>
      <c r="D55" s="125">
        <v>15.18</v>
      </c>
      <c r="E55" s="126">
        <v>60</v>
      </c>
      <c r="F55" s="525">
        <f t="shared" si="0"/>
        <v>2055</v>
      </c>
      <c r="G55" s="561">
        <v>2055</v>
      </c>
      <c r="H55" s="209">
        <f t="shared" si="3"/>
        <v>1130</v>
      </c>
      <c r="I55" s="521"/>
    </row>
    <row r="56" spans="1:16" customFormat="1" ht="27" customHeight="1">
      <c r="A56" s="623"/>
      <c r="B56" s="123" t="s">
        <v>166</v>
      </c>
      <c r="C56" s="124">
        <v>3</v>
      </c>
      <c r="D56" s="125">
        <v>16.84</v>
      </c>
      <c r="E56" s="126">
        <v>60</v>
      </c>
      <c r="F56" s="481">
        <f t="shared" si="0"/>
        <v>2187</v>
      </c>
      <c r="G56" s="562">
        <v>2187</v>
      </c>
      <c r="H56" s="209">
        <f t="shared" si="3"/>
        <v>1207</v>
      </c>
      <c r="I56" s="521"/>
    </row>
    <row r="57" spans="1:16" customFormat="1" ht="27" customHeight="1">
      <c r="A57" s="623"/>
      <c r="B57" s="123" t="s">
        <v>273</v>
      </c>
      <c r="C57" s="124">
        <v>3</v>
      </c>
      <c r="D57" s="125">
        <v>18.5</v>
      </c>
      <c r="E57" s="126">
        <v>60</v>
      </c>
      <c r="F57" s="481">
        <f t="shared" si="0"/>
        <v>2402</v>
      </c>
      <c r="G57" s="562">
        <v>2402</v>
      </c>
      <c r="H57" s="209">
        <f t="shared" si="3"/>
        <v>1316</v>
      </c>
      <c r="I57" s="521"/>
    </row>
    <row r="58" spans="1:16" customFormat="1" ht="27" customHeight="1">
      <c r="A58" s="623"/>
      <c r="B58" s="123" t="s">
        <v>167</v>
      </c>
      <c r="C58" s="124">
        <v>4</v>
      </c>
      <c r="D58" s="125">
        <v>20.059999999999999</v>
      </c>
      <c r="E58" s="126">
        <v>60</v>
      </c>
      <c r="F58" s="481">
        <f t="shared" si="0"/>
        <v>2605</v>
      </c>
      <c r="G58" s="562">
        <v>2605</v>
      </c>
      <c r="H58" s="209">
        <f t="shared" si="3"/>
        <v>1420</v>
      </c>
      <c r="I58" s="521"/>
    </row>
    <row r="59" spans="1:16" customFormat="1" ht="27" customHeight="1">
      <c r="A59" s="623"/>
      <c r="B59" s="123" t="s">
        <v>22</v>
      </c>
      <c r="C59" s="124">
        <v>4</v>
      </c>
      <c r="D59" s="125">
        <v>21.72</v>
      </c>
      <c r="E59" s="126">
        <v>60</v>
      </c>
      <c r="F59" s="481">
        <f t="shared" si="0"/>
        <v>2820</v>
      </c>
      <c r="G59" s="562">
        <v>2820</v>
      </c>
      <c r="H59" s="209">
        <f t="shared" si="3"/>
        <v>1564</v>
      </c>
      <c r="I59" s="521"/>
    </row>
    <row r="60" spans="1:16" customFormat="1" ht="27" customHeight="1">
      <c r="A60" s="623"/>
      <c r="B60" s="123" t="s">
        <v>23</v>
      </c>
      <c r="C60" s="124">
        <v>4</v>
      </c>
      <c r="D60" s="125">
        <v>23.38</v>
      </c>
      <c r="E60" s="126">
        <v>60</v>
      </c>
      <c r="F60" s="481">
        <f t="shared" si="0"/>
        <v>3036</v>
      </c>
      <c r="G60" s="562">
        <v>3036</v>
      </c>
      <c r="H60" s="209">
        <f>ROUND(((F60+P26+($P$47*M26))/2.5),0)</f>
        <v>1650</v>
      </c>
      <c r="I60" s="521"/>
    </row>
    <row r="61" spans="1:16" customFormat="1" ht="27.75" customHeight="1">
      <c r="A61" s="623"/>
      <c r="B61" s="471" t="s">
        <v>533</v>
      </c>
      <c r="C61" s="472">
        <v>4</v>
      </c>
      <c r="D61" s="473">
        <v>23.97</v>
      </c>
      <c r="E61" s="474">
        <v>60</v>
      </c>
      <c r="F61" s="481">
        <f t="shared" si="0"/>
        <v>3113</v>
      </c>
      <c r="G61" s="562">
        <v>3113</v>
      </c>
      <c r="H61" s="209">
        <f>ROUND(((F61+P29+($P$47*M29))/2.5),0)</f>
        <v>2264</v>
      </c>
      <c r="I61" s="521"/>
    </row>
    <row r="62" spans="1:16" customFormat="1" ht="27.75" customHeight="1">
      <c r="A62" s="623"/>
      <c r="B62" s="123" t="s">
        <v>534</v>
      </c>
      <c r="C62" s="124">
        <v>4</v>
      </c>
      <c r="D62" s="125">
        <v>25.56</v>
      </c>
      <c r="E62" s="126">
        <v>60</v>
      </c>
      <c r="F62" s="481">
        <f t="shared" si="0"/>
        <v>3320</v>
      </c>
      <c r="G62" s="562">
        <v>3320</v>
      </c>
      <c r="H62" s="209">
        <f>ROUND(((F62+P29+($P$47*M29))/2.5),0)</f>
        <v>2347</v>
      </c>
      <c r="I62" s="521"/>
    </row>
    <row r="63" spans="1:16" customFormat="1" ht="27.75" customHeight="1">
      <c r="A63" s="623"/>
      <c r="B63" s="123" t="s">
        <v>535</v>
      </c>
      <c r="C63" s="124">
        <v>4</v>
      </c>
      <c r="D63" s="125">
        <v>27.15</v>
      </c>
      <c r="E63" s="126">
        <v>60</v>
      </c>
      <c r="F63" s="481">
        <f t="shared" si="0"/>
        <v>3674</v>
      </c>
      <c r="G63" s="562">
        <v>3674</v>
      </c>
      <c r="H63" s="209">
        <f>ROUND(((F63+P29+($P$47*M29))/2.5),0)</f>
        <v>2489</v>
      </c>
      <c r="I63" s="521"/>
    </row>
    <row r="64" spans="1:16" customFormat="1" ht="27.75" customHeight="1">
      <c r="A64" s="624"/>
      <c r="B64" s="127" t="s">
        <v>536</v>
      </c>
      <c r="C64" s="128">
        <v>5</v>
      </c>
      <c r="D64" s="129">
        <v>30.23</v>
      </c>
      <c r="E64" s="130">
        <v>60</v>
      </c>
      <c r="F64" s="481">
        <f t="shared" si="0"/>
        <v>4092</v>
      </c>
      <c r="G64" s="562">
        <v>4092</v>
      </c>
      <c r="H64" s="209">
        <f t="shared" ref="H64:H74" si="4">ROUND(((F64+P29+($P$47*M29))/2.5),0)</f>
        <v>2656</v>
      </c>
      <c r="I64" s="521"/>
    </row>
    <row r="65" spans="1:10" customFormat="1" ht="27" customHeight="1">
      <c r="A65" s="611" t="s">
        <v>442</v>
      </c>
      <c r="B65" s="117" t="s">
        <v>547</v>
      </c>
      <c r="C65" s="117">
        <v>2</v>
      </c>
      <c r="D65" s="118">
        <v>7.09</v>
      </c>
      <c r="E65" s="119">
        <v>180</v>
      </c>
      <c r="F65" s="524">
        <f t="shared" si="0"/>
        <v>1133</v>
      </c>
      <c r="G65" s="560">
        <v>1133</v>
      </c>
      <c r="H65" s="208">
        <f t="shared" si="4"/>
        <v>694</v>
      </c>
      <c r="I65" s="521"/>
    </row>
    <row r="66" spans="1:10" customFormat="1" ht="27" customHeight="1">
      <c r="A66" s="612"/>
      <c r="B66" s="120" t="s">
        <v>15</v>
      </c>
      <c r="C66" s="120">
        <v>2</v>
      </c>
      <c r="D66" s="121">
        <v>8.77</v>
      </c>
      <c r="E66" s="122">
        <v>60</v>
      </c>
      <c r="F66" s="525">
        <f t="shared" si="0"/>
        <v>1399</v>
      </c>
      <c r="G66" s="561">
        <v>1399</v>
      </c>
      <c r="H66" s="209">
        <f t="shared" si="4"/>
        <v>837</v>
      </c>
      <c r="I66" s="521"/>
    </row>
    <row r="67" spans="1:10" customFormat="1" ht="27" customHeight="1">
      <c r="A67" s="612"/>
      <c r="B67" s="120" t="s">
        <v>477</v>
      </c>
      <c r="C67" s="120">
        <v>2</v>
      </c>
      <c r="D67" s="121">
        <v>10.45</v>
      </c>
      <c r="E67" s="122">
        <v>60</v>
      </c>
      <c r="F67" s="525">
        <f t="shared" si="0"/>
        <v>1553</v>
      </c>
      <c r="G67" s="561">
        <v>1553</v>
      </c>
      <c r="H67" s="209">
        <f t="shared" si="4"/>
        <v>927</v>
      </c>
      <c r="I67" s="521"/>
    </row>
    <row r="68" spans="1:10" customFormat="1" ht="27" customHeight="1">
      <c r="A68" s="612"/>
      <c r="B68" s="123" t="s">
        <v>17</v>
      </c>
      <c r="C68" s="124">
        <v>2</v>
      </c>
      <c r="D68" s="125">
        <v>12.14</v>
      </c>
      <c r="E68" s="126">
        <v>60</v>
      </c>
      <c r="F68" s="525">
        <f t="shared" si="0"/>
        <v>1804</v>
      </c>
      <c r="G68" s="561">
        <v>1804</v>
      </c>
      <c r="H68" s="209">
        <f t="shared" si="4"/>
        <v>1063</v>
      </c>
      <c r="I68" s="521"/>
    </row>
    <row r="69" spans="1:10" customFormat="1" ht="27" customHeight="1">
      <c r="A69" s="612"/>
      <c r="B69" s="123" t="s">
        <v>18</v>
      </c>
      <c r="C69" s="124">
        <v>2</v>
      </c>
      <c r="D69" s="125">
        <v>13.83</v>
      </c>
      <c r="E69" s="126">
        <v>60</v>
      </c>
      <c r="F69" s="525">
        <f t="shared" si="0"/>
        <v>1978</v>
      </c>
      <c r="G69" s="561">
        <v>1978</v>
      </c>
      <c r="H69" s="209">
        <f t="shared" si="4"/>
        <v>1168</v>
      </c>
      <c r="I69" s="521"/>
    </row>
    <row r="70" spans="1:10" customFormat="1" ht="27" customHeight="1">
      <c r="A70" s="612"/>
      <c r="B70" s="123" t="s">
        <v>552</v>
      </c>
      <c r="C70" s="124">
        <v>3</v>
      </c>
      <c r="D70" s="125">
        <v>15.41</v>
      </c>
      <c r="E70" s="126">
        <v>60</v>
      </c>
      <c r="F70" s="525">
        <f t="shared" si="0"/>
        <v>2204</v>
      </c>
      <c r="G70" s="561">
        <v>2204</v>
      </c>
      <c r="H70" s="209">
        <f t="shared" si="4"/>
        <v>1286</v>
      </c>
      <c r="I70" s="521"/>
    </row>
    <row r="71" spans="1:10" customFormat="1" ht="27" customHeight="1">
      <c r="A71" s="612"/>
      <c r="B71" s="123" t="s">
        <v>553</v>
      </c>
      <c r="C71" s="124">
        <v>3</v>
      </c>
      <c r="D71" s="125">
        <v>17.09</v>
      </c>
      <c r="E71" s="126">
        <v>60</v>
      </c>
      <c r="F71" s="525">
        <f t="shared" si="0"/>
        <v>2352</v>
      </c>
      <c r="G71" s="561">
        <v>2352</v>
      </c>
      <c r="H71" s="209">
        <f t="shared" si="4"/>
        <v>1380</v>
      </c>
      <c r="I71" s="521"/>
      <c r="J71" s="194"/>
    </row>
    <row r="72" spans="1:10" customFormat="1" ht="27" customHeight="1">
      <c r="A72" s="612"/>
      <c r="B72" s="123" t="s">
        <v>273</v>
      </c>
      <c r="C72" s="124">
        <v>3</v>
      </c>
      <c r="D72" s="125">
        <v>18.78</v>
      </c>
      <c r="E72" s="126">
        <v>60</v>
      </c>
      <c r="F72" s="525">
        <f t="shared" si="0"/>
        <v>2583</v>
      </c>
      <c r="G72" s="561">
        <v>2583</v>
      </c>
      <c r="H72" s="209">
        <f t="shared" si="4"/>
        <v>1494</v>
      </c>
      <c r="I72" s="521"/>
    </row>
    <row r="73" spans="1:10" customFormat="1" ht="27" customHeight="1">
      <c r="A73" s="612"/>
      <c r="B73" s="123" t="s">
        <v>478</v>
      </c>
      <c r="C73" s="124">
        <v>4</v>
      </c>
      <c r="D73" s="125">
        <v>20.36</v>
      </c>
      <c r="E73" s="126">
        <v>60</v>
      </c>
      <c r="F73" s="525">
        <f t="shared" si="0"/>
        <v>2801</v>
      </c>
      <c r="G73" s="561">
        <v>2801</v>
      </c>
      <c r="H73" s="209">
        <f t="shared" si="4"/>
        <v>1618</v>
      </c>
      <c r="I73" s="521"/>
    </row>
    <row r="74" spans="1:10" customFormat="1" ht="27" customHeight="1">
      <c r="A74" s="612"/>
      <c r="B74" s="123" t="s">
        <v>22</v>
      </c>
      <c r="C74" s="124">
        <v>4</v>
      </c>
      <c r="D74" s="125">
        <v>22.04</v>
      </c>
      <c r="E74" s="126">
        <v>60</v>
      </c>
      <c r="F74" s="525">
        <f t="shared" si="0"/>
        <v>3032</v>
      </c>
      <c r="G74" s="561">
        <v>3032</v>
      </c>
      <c r="H74" s="209">
        <f t="shared" si="4"/>
        <v>1793</v>
      </c>
      <c r="I74" s="521"/>
    </row>
    <row r="75" spans="1:10" customFormat="1" ht="27" customHeight="1">
      <c r="A75" s="612"/>
      <c r="B75" s="123" t="s">
        <v>479</v>
      </c>
      <c r="C75" s="124">
        <v>4</v>
      </c>
      <c r="D75" s="125">
        <v>23.72</v>
      </c>
      <c r="E75" s="126">
        <v>60</v>
      </c>
      <c r="F75" s="525">
        <f t="shared" si="0"/>
        <v>3263</v>
      </c>
      <c r="G75" s="561">
        <v>3263</v>
      </c>
      <c r="H75" s="209">
        <f>ROUND(((F75+P39+($P$47*M39))/2.5),0)</f>
        <v>1885</v>
      </c>
      <c r="I75" s="521"/>
    </row>
    <row r="76" spans="1:10" customFormat="1" ht="27.75" customHeight="1">
      <c r="A76" s="612"/>
      <c r="B76" s="478" t="s">
        <v>533</v>
      </c>
      <c r="C76" s="472">
        <v>4</v>
      </c>
      <c r="D76" s="473">
        <v>24.33</v>
      </c>
      <c r="E76" s="474">
        <v>60</v>
      </c>
      <c r="F76" s="525">
        <f t="shared" si="0"/>
        <v>3346</v>
      </c>
      <c r="G76" s="561">
        <v>3346</v>
      </c>
      <c r="H76" s="209">
        <f>ROUND(((F76+P46+($P$47*M46))/2.5),0)</f>
        <v>2708</v>
      </c>
      <c r="I76" s="521"/>
    </row>
    <row r="77" spans="1:10" customFormat="1" ht="27.75" customHeight="1">
      <c r="A77" s="612"/>
      <c r="B77" s="374" t="s">
        <v>534</v>
      </c>
      <c r="C77" s="124">
        <v>4</v>
      </c>
      <c r="D77" s="125">
        <v>25.94</v>
      </c>
      <c r="E77" s="126">
        <v>60</v>
      </c>
      <c r="F77" s="525">
        <f t="shared" si="0"/>
        <v>3568</v>
      </c>
      <c r="G77" s="561">
        <v>3568</v>
      </c>
      <c r="H77" s="209">
        <f>ROUND(((F77+P46+($P$47*M46))/2.5),0)</f>
        <v>2796</v>
      </c>
      <c r="I77" s="521"/>
    </row>
    <row r="78" spans="1:10" customFormat="1" ht="27.75" customHeight="1">
      <c r="A78" s="612"/>
      <c r="B78" s="374" t="s">
        <v>535</v>
      </c>
      <c r="C78" s="124">
        <v>4</v>
      </c>
      <c r="D78" s="125">
        <v>27.55</v>
      </c>
      <c r="E78" s="126">
        <v>60</v>
      </c>
      <c r="F78" s="525">
        <f t="shared" si="0"/>
        <v>3940</v>
      </c>
      <c r="G78" s="561">
        <v>3940</v>
      </c>
      <c r="H78" s="209">
        <f>ROUND(((F78+P46+($P$47*M46))/2.5),0)</f>
        <v>2945</v>
      </c>
      <c r="I78" s="521"/>
    </row>
    <row r="79" spans="1:10" customFormat="1" ht="27.75" customHeight="1">
      <c r="A79" s="613"/>
      <c r="B79" s="387" t="s">
        <v>536</v>
      </c>
      <c r="C79" s="128">
        <v>5</v>
      </c>
      <c r="D79" s="129">
        <v>30.68</v>
      </c>
      <c r="E79" s="130">
        <v>60</v>
      </c>
      <c r="F79" s="526">
        <f t="shared" si="0"/>
        <v>4389</v>
      </c>
      <c r="G79" s="564">
        <v>4389</v>
      </c>
      <c r="H79" s="210">
        <f>ROUND(((F79+P46+($P$47*M46))/2.5),0)</f>
        <v>3125</v>
      </c>
      <c r="I79" s="521"/>
    </row>
    <row r="80" spans="1:10" customFormat="1" ht="27.6">
      <c r="A80" s="54"/>
      <c r="B80" s="54"/>
      <c r="C80" s="54"/>
      <c r="D80" s="54"/>
      <c r="E80" s="54"/>
      <c r="F80" s="54"/>
      <c r="G80" s="54"/>
      <c r="H80" s="54"/>
    </row>
    <row r="81" spans="1:8" customFormat="1" ht="28.2">
      <c r="A81" s="134" t="s">
        <v>301</v>
      </c>
      <c r="B81" s="54"/>
      <c r="C81" s="54"/>
      <c r="D81" s="54"/>
      <c r="E81" s="54"/>
      <c r="F81" s="54"/>
      <c r="G81" s="54"/>
      <c r="H81" s="54"/>
    </row>
    <row r="82" spans="1:8" customFormat="1" ht="28.2">
      <c r="A82" s="134"/>
      <c r="B82" s="54"/>
      <c r="C82" s="54"/>
      <c r="D82" s="54"/>
      <c r="E82" s="54"/>
      <c r="F82" s="54"/>
      <c r="G82" s="54"/>
      <c r="H82" s="54"/>
    </row>
    <row r="83" spans="1:8" customFormat="1" ht="28.2">
      <c r="A83" s="135" t="s">
        <v>475</v>
      </c>
      <c r="B83" s="136"/>
      <c r="C83" s="136"/>
      <c r="D83" s="136"/>
      <c r="E83" s="136"/>
      <c r="F83" s="136"/>
      <c r="G83" s="136"/>
      <c r="H83" s="136"/>
    </row>
    <row r="84" spans="1:8" customFormat="1" ht="28.2">
      <c r="A84" s="135" t="s">
        <v>476</v>
      </c>
      <c r="B84" s="136"/>
      <c r="C84" s="136"/>
      <c r="D84" s="136"/>
      <c r="E84" s="136"/>
      <c r="F84" s="136"/>
      <c r="G84" s="136"/>
      <c r="H84" s="136"/>
    </row>
    <row r="85" spans="1:8" ht="28.2">
      <c r="A85" s="135" t="s">
        <v>551</v>
      </c>
      <c r="B85" s="136"/>
      <c r="C85" s="136"/>
      <c r="D85" s="136"/>
      <c r="E85" s="136"/>
      <c r="F85" s="136"/>
      <c r="G85" s="136"/>
      <c r="H85" s="136"/>
    </row>
    <row r="86" spans="1:8" ht="28.2">
      <c r="A86" s="135" t="s">
        <v>550</v>
      </c>
      <c r="B86" s="136"/>
      <c r="C86" s="136"/>
      <c r="D86" s="136"/>
      <c r="E86" s="136"/>
      <c r="F86" s="136"/>
      <c r="G86" s="136"/>
      <c r="H86" s="136"/>
    </row>
    <row r="87" spans="1:8" ht="28.2">
      <c r="A87" s="135" t="s">
        <v>225</v>
      </c>
      <c r="B87" s="136"/>
      <c r="C87" s="136"/>
      <c r="D87" s="136"/>
      <c r="E87" s="136"/>
      <c r="F87" s="136"/>
      <c r="G87" s="136"/>
      <c r="H87" s="136"/>
    </row>
    <row r="88" spans="1:8" ht="28.2">
      <c r="A88" s="135" t="s">
        <v>448</v>
      </c>
      <c r="B88" s="136"/>
      <c r="C88" s="136"/>
      <c r="D88" s="136"/>
      <c r="E88" s="136"/>
      <c r="F88" s="136"/>
      <c r="G88" s="136"/>
      <c r="H88" s="136"/>
    </row>
    <row r="89" spans="1:8" ht="28.2">
      <c r="A89" s="135" t="s">
        <v>527</v>
      </c>
      <c r="B89" s="136"/>
      <c r="C89" s="136"/>
      <c r="D89" s="136"/>
      <c r="E89" s="136"/>
      <c r="F89" s="136"/>
      <c r="G89" s="136"/>
      <c r="H89" s="136"/>
    </row>
    <row r="90" spans="1:8" ht="27.6">
      <c r="A90" s="144" t="s">
        <v>274</v>
      </c>
      <c r="B90" s="137"/>
      <c r="C90" s="137"/>
      <c r="D90" s="137"/>
      <c r="E90" s="137"/>
      <c r="F90" s="137"/>
      <c r="G90" s="137"/>
      <c r="H90" s="137"/>
    </row>
    <row r="91" spans="1:8" ht="27.6">
      <c r="A91" s="144" t="s">
        <v>155</v>
      </c>
      <c r="B91" s="54"/>
      <c r="C91" s="54"/>
      <c r="D91" s="54"/>
      <c r="E91" s="54"/>
      <c r="F91" s="54"/>
      <c r="G91" s="54"/>
      <c r="H91" s="54"/>
    </row>
    <row r="92" spans="1:8" ht="27.6">
      <c r="A92" s="144" t="s">
        <v>450</v>
      </c>
      <c r="B92" s="54"/>
      <c r="C92" s="54"/>
      <c r="D92" s="54"/>
      <c r="E92" s="54"/>
      <c r="F92" s="54"/>
      <c r="G92" s="54"/>
      <c r="H92" s="54"/>
    </row>
    <row r="93" spans="1:8" s="230" customFormat="1" ht="27.6">
      <c r="A93" s="229" t="s">
        <v>451</v>
      </c>
      <c r="B93" s="229"/>
      <c r="C93" s="229"/>
      <c r="D93" s="229"/>
      <c r="E93" s="229"/>
      <c r="F93" s="229"/>
      <c r="G93" s="229"/>
      <c r="H93" s="229"/>
    </row>
    <row r="94" spans="1:8" ht="27.6">
      <c r="A94" s="144" t="s">
        <v>444</v>
      </c>
      <c r="B94" s="144"/>
      <c r="C94" s="144"/>
      <c r="D94" s="144"/>
      <c r="E94" s="144"/>
      <c r="F94" s="144"/>
      <c r="G94" s="144"/>
      <c r="H94" s="54"/>
    </row>
    <row r="95" spans="1:8" ht="27.6">
      <c r="A95" s="144" t="s">
        <v>445</v>
      </c>
      <c r="B95" s="144"/>
      <c r="C95" s="144"/>
      <c r="D95" s="144"/>
      <c r="E95" s="144"/>
      <c r="F95" s="144"/>
      <c r="G95" s="144"/>
      <c r="H95" s="54"/>
    </row>
    <row r="96" spans="1:8" ht="27.6">
      <c r="A96" s="54"/>
      <c r="B96" s="54"/>
      <c r="C96" s="54"/>
      <c r="D96" s="54"/>
      <c r="E96" s="54"/>
      <c r="F96" s="54"/>
      <c r="G96" s="54"/>
      <c r="H96" s="54"/>
    </row>
    <row r="97" spans="1:8" ht="28.2">
      <c r="A97" s="135" t="s">
        <v>139</v>
      </c>
      <c r="B97" s="54"/>
      <c r="C97" s="54"/>
      <c r="D97" s="54"/>
      <c r="E97" s="54"/>
      <c r="F97" s="54"/>
      <c r="G97" s="54"/>
      <c r="H97" s="54"/>
    </row>
    <row r="98" spans="1:8" ht="28.2">
      <c r="A98" s="135" t="s">
        <v>140</v>
      </c>
      <c r="B98" s="54"/>
      <c r="C98" s="54"/>
      <c r="D98" s="54"/>
      <c r="E98" s="54"/>
      <c r="F98" s="54"/>
      <c r="G98" s="54"/>
      <c r="H98" s="54"/>
    </row>
    <row r="99" spans="1:8" ht="28.2">
      <c r="A99" s="135" t="s">
        <v>80</v>
      </c>
      <c r="B99" s="136"/>
      <c r="C99" s="136"/>
      <c r="D99" s="136"/>
      <c r="E99" s="136"/>
      <c r="F99" s="136"/>
      <c r="G99" s="136"/>
      <c r="H99" s="136"/>
    </row>
    <row r="100" spans="1:8" ht="28.2">
      <c r="A100" s="138" t="s">
        <v>12</v>
      </c>
      <c r="B100" s="136"/>
      <c r="C100" s="136"/>
      <c r="D100" s="136"/>
      <c r="E100" s="136"/>
      <c r="F100" s="136"/>
      <c r="G100" s="136"/>
      <c r="H100" s="136"/>
    </row>
    <row r="101" spans="1:8" ht="28.2">
      <c r="A101" s="135" t="s">
        <v>580</v>
      </c>
      <c r="B101" s="54"/>
      <c r="C101" s="54"/>
      <c r="D101" s="54"/>
      <c r="E101" s="54"/>
      <c r="F101" s="54"/>
      <c r="G101" s="54"/>
      <c r="H101" s="54"/>
    </row>
    <row r="102" spans="1:8" ht="28.2">
      <c r="A102" s="135"/>
      <c r="B102" s="135"/>
      <c r="C102" s="135"/>
      <c r="D102" s="135"/>
      <c r="E102" s="135"/>
      <c r="F102" s="135"/>
      <c r="G102" s="135"/>
      <c r="H102" s="135"/>
    </row>
    <row r="103" spans="1:8" ht="20.399999999999999">
      <c r="A103" s="11"/>
      <c r="B103" s="11"/>
      <c r="C103" s="11"/>
      <c r="D103" s="11"/>
      <c r="E103" s="11"/>
      <c r="F103" s="11"/>
      <c r="G103" s="11"/>
      <c r="H103" s="11"/>
    </row>
    <row r="104" spans="1:8" ht="20.399999999999999">
      <c r="A104" s="11"/>
      <c r="B104" s="11"/>
      <c r="C104" s="11"/>
      <c r="D104" s="11"/>
      <c r="E104" s="11"/>
      <c r="F104" s="11"/>
      <c r="G104" s="11"/>
      <c r="H104" s="11"/>
    </row>
    <row r="105" spans="1:8" ht="106.5" customHeight="1">
      <c r="A105" s="592" t="s">
        <v>542</v>
      </c>
      <c r="B105" s="627">
        <v>0</v>
      </c>
      <c r="C105" s="628"/>
      <c r="D105" s="629"/>
      <c r="E105" s="11"/>
      <c r="F105" s="11"/>
      <c r="G105" s="11"/>
      <c r="H105" s="11"/>
    </row>
    <row r="106" spans="1:8" ht="20.399999999999999">
      <c r="A106" s="33"/>
      <c r="B106" s="33"/>
      <c r="C106" s="33"/>
      <c r="D106" s="33"/>
      <c r="E106" s="33"/>
      <c r="F106" s="33"/>
      <c r="G106" s="33"/>
      <c r="H106" s="33"/>
    </row>
    <row r="107" spans="1:8" ht="20.399999999999999">
      <c r="A107" s="33"/>
      <c r="B107" s="33"/>
      <c r="C107" s="33"/>
      <c r="D107" s="33"/>
      <c r="E107" s="33"/>
      <c r="F107" s="33"/>
      <c r="G107" s="33"/>
      <c r="H107" s="33"/>
    </row>
    <row r="108" spans="1:8" ht="20.399999999999999">
      <c r="A108" s="33"/>
      <c r="B108" s="33"/>
      <c r="C108" s="33"/>
      <c r="D108" s="33"/>
      <c r="E108" s="33"/>
      <c r="F108" s="33"/>
      <c r="G108" s="33"/>
      <c r="H108" s="33"/>
    </row>
    <row r="109" spans="1:8" ht="20.399999999999999">
      <c r="A109" s="33"/>
      <c r="B109" s="33"/>
      <c r="C109" s="33"/>
      <c r="D109" s="33"/>
      <c r="E109" s="33"/>
      <c r="F109" s="33"/>
      <c r="G109" s="33"/>
      <c r="H109" s="33"/>
    </row>
    <row r="110" spans="1:8" ht="20.399999999999999">
      <c r="A110" s="37"/>
      <c r="B110" s="37"/>
      <c r="C110" s="37"/>
      <c r="D110" s="37"/>
      <c r="E110" s="37"/>
      <c r="F110" s="37"/>
      <c r="G110" s="37"/>
      <c r="H110" s="37"/>
    </row>
    <row r="111" spans="1:8" ht="15">
      <c r="A111" s="5"/>
      <c r="B111" s="4"/>
      <c r="C111" s="4"/>
      <c r="D111" s="4"/>
      <c r="E111" s="4"/>
      <c r="F111" s="4"/>
      <c r="G111" s="4"/>
      <c r="H111" s="4"/>
    </row>
    <row r="112" spans="1:8" ht="15">
      <c r="A112" s="5"/>
      <c r="B112" s="4"/>
      <c r="C112" s="4"/>
      <c r="D112" s="4"/>
      <c r="E112" s="4"/>
      <c r="F112" s="4"/>
      <c r="G112" s="4"/>
      <c r="H112" s="4"/>
    </row>
    <row r="113" spans="1:8" ht="15">
      <c r="A113" s="7"/>
      <c r="B113" s="3"/>
      <c r="C113" s="3"/>
      <c r="D113" s="3"/>
      <c r="E113" s="3"/>
      <c r="F113" s="3"/>
      <c r="G113" s="3"/>
      <c r="H113" s="3"/>
    </row>
    <row r="114" spans="1:8" ht="15">
      <c r="A114" s="7"/>
      <c r="B114" s="3"/>
      <c r="C114" s="3"/>
      <c r="D114" s="3"/>
      <c r="E114" s="3"/>
      <c r="F114" s="3"/>
      <c r="G114" s="3"/>
      <c r="H114" s="3"/>
    </row>
    <row r="115" spans="1:8">
      <c r="A115" s="2"/>
    </row>
    <row r="116" spans="1:8">
      <c r="A116" s="2"/>
    </row>
    <row r="117" spans="1:8">
      <c r="A117" s="2"/>
    </row>
    <row r="118" spans="1:8">
      <c r="A118" s="2"/>
    </row>
    <row r="119" spans="1:8">
      <c r="A119" s="2"/>
    </row>
    <row r="120" spans="1:8">
      <c r="A120" s="2"/>
    </row>
    <row r="121" spans="1:8">
      <c r="A121" s="2"/>
    </row>
  </sheetData>
  <sheetProtection formatCells="0" formatColumns="0" formatRows="0" insertColumns="0" insertRows="0" insertHyperlinks="0" deleteColumns="0" deleteRows="0" sort="0" autoFilter="0" pivotTables="0"/>
  <mergeCells count="39">
    <mergeCell ref="P47:P52"/>
    <mergeCell ref="P53:P54"/>
    <mergeCell ref="M53:M54"/>
    <mergeCell ref="J53:L54"/>
    <mergeCell ref="K28:K29"/>
    <mergeCell ref="J14:J29"/>
    <mergeCell ref="K41:K42"/>
    <mergeCell ref="K45:K46"/>
    <mergeCell ref="O43:O44"/>
    <mergeCell ref="M47:M52"/>
    <mergeCell ref="J47:L52"/>
    <mergeCell ref="N47:N52"/>
    <mergeCell ref="O47:O52"/>
    <mergeCell ref="O14:O27"/>
    <mergeCell ref="O30:O40"/>
    <mergeCell ref="O41:O42"/>
    <mergeCell ref="B105:D105"/>
    <mergeCell ref="J13:K13"/>
    <mergeCell ref="K14:K27"/>
    <mergeCell ref="K43:K44"/>
    <mergeCell ref="J30:J46"/>
    <mergeCell ref="A15:A17"/>
    <mergeCell ref="A18:A32"/>
    <mergeCell ref="A33:A49"/>
    <mergeCell ref="A50:A64"/>
    <mergeCell ref="K30:K40"/>
    <mergeCell ref="A1:H10"/>
    <mergeCell ref="A11:H11"/>
    <mergeCell ref="A13:A14"/>
    <mergeCell ref="B13:B14"/>
    <mergeCell ref="C13:C14"/>
    <mergeCell ref="D13:D14"/>
    <mergeCell ref="E13:E14"/>
    <mergeCell ref="F13:F14"/>
    <mergeCell ref="O28:O29"/>
    <mergeCell ref="O45:O46"/>
    <mergeCell ref="N53:N54"/>
    <mergeCell ref="O53:O54"/>
    <mergeCell ref="A65:A79"/>
  </mergeCells>
  <printOptions horizontalCentered="1"/>
  <pageMargins left="0" right="0" top="0" bottom="0" header="0" footer="0"/>
  <pageSetup paperSize="9" scale="28" orientation="portrait" r:id="rId1"/>
  <headerFooter alignWithMargins="0">
    <oddFooter>&amp;R&amp;26Стр. &amp;P из  &amp;N
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29"/>
  <sheetViews>
    <sheetView showGridLines="0" topLeftCell="A79" zoomScale="40" zoomScaleNormal="40" zoomScaleSheetLayoutView="10" workbookViewId="0">
      <selection activeCell="A106" sqref="A106"/>
    </sheetView>
  </sheetViews>
  <sheetFormatPr defaultColWidth="9.109375" defaultRowHeight="13.2"/>
  <cols>
    <col min="1" max="1" width="48.44140625" style="1" customWidth="1"/>
    <col min="2" max="2" width="31.5546875" style="1" customWidth="1"/>
    <col min="3" max="3" width="29" style="1" customWidth="1"/>
    <col min="4" max="4" width="30.109375" style="1" customWidth="1"/>
    <col min="5" max="5" width="30.88671875" style="1" customWidth="1"/>
    <col min="6" max="6" width="64" style="1" customWidth="1"/>
    <col min="7" max="7" width="31.44140625" style="1" hidden="1" customWidth="1"/>
    <col min="8" max="8" width="79" style="1" customWidth="1"/>
    <col min="9" max="9" width="14" style="1" customWidth="1"/>
    <col min="10" max="10" width="27.109375" style="1" hidden="1" customWidth="1"/>
    <col min="11" max="16" width="19.5546875" style="1" hidden="1" customWidth="1"/>
    <col min="17" max="18" width="9.109375" style="1" customWidth="1"/>
    <col min="19" max="16384" width="9.109375" style="1"/>
  </cols>
  <sheetData>
    <row r="1" spans="1:16">
      <c r="A1" s="614"/>
      <c r="B1" s="614"/>
      <c r="C1" s="614"/>
      <c r="D1" s="614"/>
      <c r="E1" s="614"/>
      <c r="F1" s="614"/>
      <c r="G1" s="614"/>
      <c r="H1" s="614"/>
    </row>
    <row r="2" spans="1:16">
      <c r="A2" s="614"/>
      <c r="B2" s="614"/>
      <c r="C2" s="614"/>
      <c r="D2" s="614"/>
      <c r="E2" s="614"/>
      <c r="F2" s="614"/>
      <c r="G2" s="614"/>
      <c r="H2" s="614"/>
    </row>
    <row r="3" spans="1:16">
      <c r="A3" s="614"/>
      <c r="B3" s="614"/>
      <c r="C3" s="614"/>
      <c r="D3" s="614"/>
      <c r="E3" s="614"/>
      <c r="F3" s="614"/>
      <c r="G3" s="614"/>
      <c r="H3" s="614"/>
    </row>
    <row r="4" spans="1:16">
      <c r="A4" s="614"/>
      <c r="B4" s="614"/>
      <c r="C4" s="614"/>
      <c r="D4" s="614"/>
      <c r="E4" s="614"/>
      <c r="F4" s="614"/>
      <c r="G4" s="614"/>
      <c r="H4" s="614"/>
    </row>
    <row r="5" spans="1:16">
      <c r="A5" s="614"/>
      <c r="B5" s="614"/>
      <c r="C5" s="614"/>
      <c r="D5" s="614"/>
      <c r="E5" s="614"/>
      <c r="F5" s="614"/>
      <c r="G5" s="614"/>
      <c r="H5" s="614"/>
    </row>
    <row r="6" spans="1:16">
      <c r="A6" s="614"/>
      <c r="B6" s="614"/>
      <c r="C6" s="614"/>
      <c r="D6" s="614"/>
      <c r="E6" s="614"/>
      <c r="F6" s="614"/>
      <c r="G6" s="614"/>
      <c r="H6" s="614"/>
    </row>
    <row r="7" spans="1:16">
      <c r="A7" s="614"/>
      <c r="B7" s="614"/>
      <c r="C7" s="614"/>
      <c r="D7" s="614"/>
      <c r="E7" s="614"/>
      <c r="F7" s="614"/>
      <c r="G7" s="614"/>
      <c r="H7" s="614"/>
    </row>
    <row r="8" spans="1:16">
      <c r="A8" s="614"/>
      <c r="B8" s="614"/>
      <c r="C8" s="614"/>
      <c r="D8" s="614"/>
      <c r="E8" s="614"/>
      <c r="F8" s="614"/>
      <c r="G8" s="614"/>
      <c r="H8" s="614"/>
    </row>
    <row r="9" spans="1:16">
      <c r="A9" s="614"/>
      <c r="B9" s="614"/>
      <c r="C9" s="614"/>
      <c r="D9" s="614"/>
      <c r="E9" s="614"/>
      <c r="F9" s="614"/>
      <c r="G9" s="614"/>
      <c r="H9" s="614"/>
    </row>
    <row r="10" spans="1:16" ht="27" customHeight="1" thickBot="1">
      <c r="A10" s="615"/>
      <c r="B10" s="615"/>
      <c r="C10" s="615"/>
      <c r="D10" s="615"/>
      <c r="E10" s="615"/>
      <c r="F10" s="615"/>
      <c r="G10" s="615"/>
      <c r="H10" s="615"/>
    </row>
    <row r="11" spans="1:16" ht="45.75" customHeight="1">
      <c r="A11" s="616" t="s">
        <v>555</v>
      </c>
      <c r="B11" s="616"/>
      <c r="C11" s="616"/>
      <c r="D11" s="616"/>
      <c r="E11" s="616"/>
      <c r="F11" s="616"/>
      <c r="G11" s="616"/>
      <c r="H11" s="616"/>
    </row>
    <row r="12" spans="1:16" customFormat="1" ht="27.6">
      <c r="A12" s="54"/>
      <c r="B12" s="54"/>
      <c r="C12" s="139"/>
      <c r="D12" s="198"/>
      <c r="E12" s="198"/>
      <c r="F12" s="178"/>
      <c r="G12" s="178"/>
      <c r="H12" s="178" t="s">
        <v>503</v>
      </c>
    </row>
    <row r="13" spans="1:16" customFormat="1" ht="186" customHeight="1">
      <c r="A13" s="617" t="s">
        <v>164</v>
      </c>
      <c r="B13" s="619" t="s">
        <v>201</v>
      </c>
      <c r="C13" s="619" t="s">
        <v>198</v>
      </c>
      <c r="D13" s="620" t="s">
        <v>76</v>
      </c>
      <c r="E13" s="620" t="s">
        <v>200</v>
      </c>
      <c r="F13" s="620" t="s">
        <v>148</v>
      </c>
      <c r="G13" s="583" t="s">
        <v>570</v>
      </c>
      <c r="H13" s="584" t="s">
        <v>138</v>
      </c>
      <c r="J13" s="630" t="s">
        <v>164</v>
      </c>
      <c r="K13" s="630"/>
      <c r="L13" s="466" t="s">
        <v>203</v>
      </c>
      <c r="M13" s="466" t="s">
        <v>199</v>
      </c>
      <c r="N13" s="466" t="s">
        <v>8</v>
      </c>
      <c r="O13" s="41" t="s">
        <v>200</v>
      </c>
      <c r="P13" s="42" t="s">
        <v>81</v>
      </c>
    </row>
    <row r="14" spans="1:16" customFormat="1" ht="32.25" customHeight="1">
      <c r="A14" s="618"/>
      <c r="B14" s="619"/>
      <c r="C14" s="619"/>
      <c r="D14" s="621"/>
      <c r="E14" s="621"/>
      <c r="F14" s="621"/>
      <c r="G14" s="585"/>
      <c r="H14" s="586" t="s">
        <v>398</v>
      </c>
      <c r="J14" s="625" t="s">
        <v>223</v>
      </c>
      <c r="K14" s="631" t="s">
        <v>24</v>
      </c>
      <c r="L14" s="15">
        <f>'Эл-ты панельных ограждений'!D12</f>
        <v>1.1000000000000001</v>
      </c>
      <c r="M14" s="569">
        <f>'Эл-ты панельных ограждений'!E12</f>
        <v>2</v>
      </c>
      <c r="N14" s="15">
        <f>'Эл-ты панельных ограждений'!F12</f>
        <v>2.94</v>
      </c>
      <c r="O14" s="606">
        <f>'Эл-ты панельных ограждений'!G12</f>
        <v>96</v>
      </c>
      <c r="P14" s="486">
        <f>'Эл-ты панельных ограждений'!H12</f>
        <v>383</v>
      </c>
    </row>
    <row r="15" spans="1:16" customFormat="1" ht="30" customHeight="1">
      <c r="A15" s="611" t="s">
        <v>559</v>
      </c>
      <c r="B15" s="131" t="s">
        <v>195</v>
      </c>
      <c r="C15" s="133">
        <v>2</v>
      </c>
      <c r="D15" s="132">
        <v>10.91</v>
      </c>
      <c r="E15" s="133">
        <v>50</v>
      </c>
      <c r="F15" s="383">
        <f>ROUND(G15*(1-$B$113),2)</f>
        <v>1676</v>
      </c>
      <c r="G15" s="547">
        <v>1676</v>
      </c>
      <c r="H15" s="383">
        <f>ROUND(((F15+P14+($P$47*M14))/2.5),0)</f>
        <v>864</v>
      </c>
      <c r="I15" s="529"/>
      <c r="J15" s="626"/>
      <c r="K15" s="631"/>
      <c r="L15" s="358" t="str">
        <f>'Эл-ты панельных ограждений'!D20</f>
        <v>2,50*</v>
      </c>
      <c r="M15" s="358">
        <f>'Эл-ты панельных ограждений'!E20</f>
        <v>4</v>
      </c>
      <c r="N15" s="359">
        <f>'Эл-ты панельных ограждений'!F20</f>
        <v>6.7</v>
      </c>
      <c r="O15" s="606">
        <f>'Эл-ты панельных ограждений'!G13</f>
        <v>0</v>
      </c>
      <c r="P15" s="487">
        <f>'Эл-ты панельных ограждений'!H20</f>
        <v>740</v>
      </c>
    </row>
    <row r="16" spans="1:16" customFormat="1" ht="30" customHeight="1">
      <c r="A16" s="612"/>
      <c r="B16" s="472" t="s">
        <v>15</v>
      </c>
      <c r="C16" s="474">
        <v>2</v>
      </c>
      <c r="D16" s="473">
        <v>13.5</v>
      </c>
      <c r="E16" s="474">
        <v>50</v>
      </c>
      <c r="F16" s="386">
        <f t="shared" ref="F16:F79" si="0">ROUND(G16*(1-$B$113),2)</f>
        <v>2075</v>
      </c>
      <c r="G16" s="548">
        <v>2075</v>
      </c>
      <c r="H16" s="386">
        <f t="shared" ref="H16:H24" si="1">ROUND(((F16+P18+($P$47*M18))/2.5),0)</f>
        <v>1052</v>
      </c>
      <c r="I16" s="529"/>
      <c r="J16" s="626"/>
      <c r="K16" s="631"/>
      <c r="L16" s="357" t="str">
        <f>'Эл-ты панельных ограждений'!D20</f>
        <v>2,50*</v>
      </c>
      <c r="M16" s="358">
        <f>'Эл-ты панельных ограждений'!E20</f>
        <v>4</v>
      </c>
      <c r="N16" s="359">
        <f>'Эл-ты панельных ограждений'!F20</f>
        <v>6.7</v>
      </c>
      <c r="O16" s="606">
        <f>'Эл-ты панельных ограждений'!G14</f>
        <v>0</v>
      </c>
      <c r="P16" s="487">
        <f>'Эл-ты панельных ограждений'!H20</f>
        <v>740</v>
      </c>
    </row>
    <row r="17" spans="1:16" customFormat="1" ht="30" customHeight="1">
      <c r="A17" s="612"/>
      <c r="B17" s="472" t="s">
        <v>461</v>
      </c>
      <c r="C17" s="474">
        <v>2</v>
      </c>
      <c r="D17" s="473">
        <v>16.09</v>
      </c>
      <c r="E17" s="474">
        <v>50</v>
      </c>
      <c r="F17" s="386">
        <f t="shared" si="0"/>
        <v>2204</v>
      </c>
      <c r="G17" s="548">
        <v>2204</v>
      </c>
      <c r="H17" s="386">
        <f t="shared" si="1"/>
        <v>1115</v>
      </c>
      <c r="I17" s="529"/>
      <c r="J17" s="626"/>
      <c r="K17" s="631"/>
      <c r="L17" s="357" t="str">
        <f>'Эл-ты панельных ограждений'!D20</f>
        <v>2,50*</v>
      </c>
      <c r="M17" s="358">
        <f>'Эл-ты панельных ограждений'!E20</f>
        <v>4</v>
      </c>
      <c r="N17" s="359">
        <f>'Эл-ты панельных ограждений'!F20</f>
        <v>6.7</v>
      </c>
      <c r="O17" s="606">
        <f>'Эл-ты панельных ограждений'!G15</f>
        <v>0</v>
      </c>
      <c r="P17" s="487">
        <f>'Эл-ты панельных ограждений'!H20</f>
        <v>740</v>
      </c>
    </row>
    <row r="18" spans="1:16" customFormat="1" ht="30" customHeight="1">
      <c r="A18" s="612"/>
      <c r="B18" s="472" t="s">
        <v>17</v>
      </c>
      <c r="C18" s="474">
        <v>2</v>
      </c>
      <c r="D18" s="473">
        <v>18.68</v>
      </c>
      <c r="E18" s="474">
        <v>50</v>
      </c>
      <c r="F18" s="386">
        <f t="shared" si="0"/>
        <v>2559</v>
      </c>
      <c r="G18" s="548">
        <v>2559</v>
      </c>
      <c r="H18" s="386">
        <f t="shared" si="1"/>
        <v>1283</v>
      </c>
      <c r="I18" s="529"/>
      <c r="J18" s="626"/>
      <c r="K18" s="631"/>
      <c r="L18" s="172">
        <f>'Эл-ты панельных ограждений'!D13</f>
        <v>1.3</v>
      </c>
      <c r="M18" s="13">
        <f>'Эл-ты панельных ограждений'!E13</f>
        <v>2</v>
      </c>
      <c r="N18" s="16">
        <f>'Эл-ты панельных ограждений'!F13</f>
        <v>3.48</v>
      </c>
      <c r="O18" s="606">
        <f>'Эл-ты панельных ограждений'!G16</f>
        <v>0</v>
      </c>
      <c r="P18" s="487">
        <f>'Эл-ты панельных ограждений'!H13</f>
        <v>453</v>
      </c>
    </row>
    <row r="19" spans="1:16" customFormat="1" ht="30" customHeight="1">
      <c r="A19" s="612"/>
      <c r="B19" s="472" t="s">
        <v>18</v>
      </c>
      <c r="C19" s="474">
        <v>2</v>
      </c>
      <c r="D19" s="473">
        <v>21.29</v>
      </c>
      <c r="E19" s="474">
        <v>50</v>
      </c>
      <c r="F19" s="480">
        <f t="shared" si="0"/>
        <v>2915</v>
      </c>
      <c r="G19" s="549">
        <v>2915</v>
      </c>
      <c r="H19" s="480">
        <f t="shared" si="1"/>
        <v>1441</v>
      </c>
      <c r="I19" s="529"/>
      <c r="J19" s="626"/>
      <c r="K19" s="631"/>
      <c r="L19" s="172">
        <f>'Эл-ты панельных ограждений'!D14</f>
        <v>1.5</v>
      </c>
      <c r="M19" s="13">
        <f>'Эл-ты панельных ограждений'!E14</f>
        <v>2</v>
      </c>
      <c r="N19" s="16">
        <f>'Эл-ты панельных ограждений'!F14</f>
        <v>4.0199999999999996</v>
      </c>
      <c r="O19" s="606">
        <f>'Эл-ты панельных ограждений'!G17</f>
        <v>0</v>
      </c>
      <c r="P19" s="487">
        <f>'Эл-ты панельных ограждений'!H14</f>
        <v>482</v>
      </c>
    </row>
    <row r="20" spans="1:16" customFormat="1" ht="30" customHeight="1">
      <c r="A20" s="612"/>
      <c r="B20" s="123" t="s">
        <v>546</v>
      </c>
      <c r="C20" s="126">
        <v>3</v>
      </c>
      <c r="D20" s="125">
        <v>23.72</v>
      </c>
      <c r="E20" s="126">
        <v>50</v>
      </c>
      <c r="F20" s="384">
        <f t="shared" si="0"/>
        <v>3247</v>
      </c>
      <c r="G20" s="550">
        <v>3247</v>
      </c>
      <c r="H20" s="384">
        <f t="shared" si="1"/>
        <v>1606</v>
      </c>
      <c r="I20" s="529"/>
      <c r="J20" s="626"/>
      <c r="K20" s="631"/>
      <c r="L20" s="172">
        <f>'Эл-ты панельных ограждений'!D15</f>
        <v>1.7</v>
      </c>
      <c r="M20" s="13">
        <f>'Эл-ты панельных ограждений'!E15</f>
        <v>2</v>
      </c>
      <c r="N20" s="16">
        <f>'Эл-ты панельных ограждений'!F15</f>
        <v>4.5599999999999996</v>
      </c>
      <c r="O20" s="606">
        <f>'Эл-ты панельных ограждений'!G18</f>
        <v>0</v>
      </c>
      <c r="P20" s="487">
        <f>'Эл-ты панельных ограждений'!H15</f>
        <v>547</v>
      </c>
    </row>
    <row r="21" spans="1:16" customFormat="1" ht="30" customHeight="1">
      <c r="A21" s="612"/>
      <c r="B21" s="123" t="s">
        <v>537</v>
      </c>
      <c r="C21" s="477">
        <v>3</v>
      </c>
      <c r="D21" s="476">
        <v>26.31</v>
      </c>
      <c r="E21" s="477">
        <v>50</v>
      </c>
      <c r="F21" s="384">
        <f t="shared" si="0"/>
        <v>3458</v>
      </c>
      <c r="G21" s="550">
        <v>3458</v>
      </c>
      <c r="H21" s="384">
        <f t="shared" si="1"/>
        <v>1716</v>
      </c>
      <c r="I21" s="529"/>
      <c r="J21" s="626"/>
      <c r="K21" s="631"/>
      <c r="L21" s="172">
        <f>'Эл-ты панельных ограждений'!D16</f>
        <v>1.9</v>
      </c>
      <c r="M21" s="13">
        <f>'Эл-ты панельных ограждений'!E16</f>
        <v>2</v>
      </c>
      <c r="N21" s="16">
        <f>'Эл-ты панельных ограждений'!F16</f>
        <v>5.09</v>
      </c>
      <c r="O21" s="606">
        <f>'Эл-ты панельных ограждений'!G19</f>
        <v>0</v>
      </c>
      <c r="P21" s="487">
        <f>'Эл-ты панельных ограждений'!H16</f>
        <v>585</v>
      </c>
    </row>
    <row r="22" spans="1:16" customFormat="1" ht="30" customHeight="1">
      <c r="A22" s="612"/>
      <c r="B22" s="123" t="s">
        <v>273</v>
      </c>
      <c r="C22" s="126">
        <v>3</v>
      </c>
      <c r="D22" s="125">
        <v>28.91</v>
      </c>
      <c r="E22" s="126">
        <v>50</v>
      </c>
      <c r="F22" s="384">
        <f t="shared" si="0"/>
        <v>3797</v>
      </c>
      <c r="G22" s="550">
        <v>3797</v>
      </c>
      <c r="H22" s="384">
        <f t="shared" si="1"/>
        <v>1874</v>
      </c>
      <c r="I22" s="529"/>
      <c r="J22" s="626"/>
      <c r="K22" s="631"/>
      <c r="L22" s="177" t="str">
        <f>'Эл-ты панельных ограждений'!D17</f>
        <v>2,0*</v>
      </c>
      <c r="M22" s="13">
        <f>'Эл-ты панельных ограждений'!E17</f>
        <v>3</v>
      </c>
      <c r="N22" s="16">
        <f>'Эл-ты панельных ограждений'!F17</f>
        <v>5.36</v>
      </c>
      <c r="O22" s="606">
        <f>'Эл-ты панельных ограждений'!G20</f>
        <v>0</v>
      </c>
      <c r="P22" s="487">
        <f>'Эл-ты панельных ограждений'!H17</f>
        <v>616</v>
      </c>
    </row>
    <row r="23" spans="1:16" customFormat="1" ht="30" customHeight="1">
      <c r="A23" s="612"/>
      <c r="B23" s="123" t="s">
        <v>446</v>
      </c>
      <c r="C23" s="474">
        <v>4</v>
      </c>
      <c r="D23" s="473">
        <v>32.340000000000003</v>
      </c>
      <c r="E23" s="474">
        <v>50</v>
      </c>
      <c r="F23" s="384">
        <f t="shared" si="0"/>
        <v>4116</v>
      </c>
      <c r="G23" s="550">
        <v>4116</v>
      </c>
      <c r="H23" s="384">
        <f t="shared" si="1"/>
        <v>2024</v>
      </c>
      <c r="I23" s="529"/>
      <c r="J23" s="626"/>
      <c r="K23" s="631"/>
      <c r="L23" s="172" t="str">
        <f>'Эл-ты панельных ограждений'!D18</f>
        <v>2,20*</v>
      </c>
      <c r="M23" s="13">
        <f>'Эл-ты панельных ограждений'!E18</f>
        <v>3</v>
      </c>
      <c r="N23" s="16">
        <f>'Эл-ты панельных ограждений'!F18</f>
        <v>5.9</v>
      </c>
      <c r="O23" s="606">
        <f>'Эл-ты панельных ограждений'!G21</f>
        <v>0</v>
      </c>
      <c r="P23" s="487">
        <f>'Эл-ты панельных ограждений'!H18</f>
        <v>678</v>
      </c>
    </row>
    <row r="24" spans="1:16" customFormat="1" ht="30" customHeight="1">
      <c r="A24" s="612"/>
      <c r="B24" s="123" t="s">
        <v>22</v>
      </c>
      <c r="C24" s="474">
        <v>4</v>
      </c>
      <c r="D24" s="473">
        <v>33.93</v>
      </c>
      <c r="E24" s="474">
        <v>50</v>
      </c>
      <c r="F24" s="384">
        <f t="shared" si="0"/>
        <v>4459</v>
      </c>
      <c r="G24" s="550">
        <v>4459</v>
      </c>
      <c r="H24" s="384">
        <f t="shared" si="1"/>
        <v>2219</v>
      </c>
      <c r="I24" s="529"/>
      <c r="J24" s="626"/>
      <c r="K24" s="631"/>
      <c r="L24" s="172" t="str">
        <f>'Эл-ты панельных ограждений'!D19</f>
        <v>2,40*</v>
      </c>
      <c r="M24" s="13">
        <f>'Эл-ты панельных ограждений'!E19</f>
        <v>3</v>
      </c>
      <c r="N24" s="16">
        <f>'Эл-ты панельных ограждений'!F19</f>
        <v>6.43</v>
      </c>
      <c r="O24" s="606">
        <f>'Эл-ты панельных ограждений'!G22</f>
        <v>0</v>
      </c>
      <c r="P24" s="487">
        <f>'Эл-ты панельных ограждений'!H19</f>
        <v>736</v>
      </c>
    </row>
    <row r="25" spans="1:16" customFormat="1" ht="30" customHeight="1">
      <c r="A25" s="612"/>
      <c r="B25" s="123" t="s">
        <v>462</v>
      </c>
      <c r="C25" s="474">
        <v>4</v>
      </c>
      <c r="D25" s="473">
        <v>36.53</v>
      </c>
      <c r="E25" s="474">
        <v>50</v>
      </c>
      <c r="F25" s="384">
        <f t="shared" si="0"/>
        <v>4798</v>
      </c>
      <c r="G25" s="550">
        <v>4798</v>
      </c>
      <c r="H25" s="384">
        <f>ROUND(((F25+P26+($P$47*M26))/2.5),0)</f>
        <v>2355</v>
      </c>
      <c r="I25" s="529"/>
      <c r="J25" s="626"/>
      <c r="K25" s="631"/>
      <c r="L25" s="172" t="str">
        <f>'Эл-ты панельных ограждений'!D20</f>
        <v>2,50*</v>
      </c>
      <c r="M25" s="13">
        <f>'Эл-ты панельных ограждений'!E20</f>
        <v>4</v>
      </c>
      <c r="N25" s="16">
        <f>'Эл-ты панельных ограждений'!F20</f>
        <v>6.7</v>
      </c>
      <c r="O25" s="606">
        <f>'Эл-ты панельных ограждений'!G23</f>
        <v>72</v>
      </c>
      <c r="P25" s="487">
        <f>'Эл-ты панельных ограждений'!H20</f>
        <v>740</v>
      </c>
    </row>
    <row r="26" spans="1:16" customFormat="1" ht="30" customHeight="1">
      <c r="A26" s="612"/>
      <c r="B26" s="123" t="s">
        <v>533</v>
      </c>
      <c r="C26" s="474">
        <v>4</v>
      </c>
      <c r="D26" s="473">
        <v>37.46</v>
      </c>
      <c r="E26" s="474">
        <v>50</v>
      </c>
      <c r="F26" s="384">
        <f t="shared" si="0"/>
        <v>4921</v>
      </c>
      <c r="G26" s="550">
        <v>4921</v>
      </c>
      <c r="H26" s="384">
        <f>ROUND(((F26+P29+($P$47*M29))/2.5),0)</f>
        <v>2988</v>
      </c>
      <c r="I26" s="529"/>
      <c r="J26" s="626"/>
      <c r="K26" s="631"/>
      <c r="L26" s="172">
        <f>'Эл-ты панельных ограждений'!D21</f>
        <v>3</v>
      </c>
      <c r="M26" s="13">
        <f>'Эл-ты панельных ограждений'!E21</f>
        <v>4</v>
      </c>
      <c r="N26" s="16">
        <f>'Эл-ты панельных ограждений'!F21</f>
        <v>8.0399999999999991</v>
      </c>
      <c r="O26" s="606">
        <f>'Эл-ты панельных ограждений'!G24</f>
        <v>0</v>
      </c>
      <c r="P26" s="487">
        <f>'Эл-ты панельных ограждений'!H21</f>
        <v>885</v>
      </c>
    </row>
    <row r="27" spans="1:16" customFormat="1" ht="30" customHeight="1">
      <c r="A27" s="612"/>
      <c r="B27" s="123" t="s">
        <v>534</v>
      </c>
      <c r="C27" s="474">
        <v>4</v>
      </c>
      <c r="D27" s="473">
        <v>39.94</v>
      </c>
      <c r="E27" s="474">
        <v>50</v>
      </c>
      <c r="F27" s="384">
        <f t="shared" si="0"/>
        <v>5247</v>
      </c>
      <c r="G27" s="550">
        <v>5247</v>
      </c>
      <c r="H27" s="384">
        <f>ROUND(((F27+P29+($P$47*M29))/2.5),0)</f>
        <v>3118</v>
      </c>
      <c r="I27" s="529"/>
      <c r="J27" s="626"/>
      <c r="K27" s="631"/>
      <c r="L27" s="173">
        <f>'Эл-ты панельных ограждений'!D22</f>
        <v>4</v>
      </c>
      <c r="M27" s="18">
        <f>'Эл-ты панельных ограждений'!E22</f>
        <v>6</v>
      </c>
      <c r="N27" s="17">
        <f>'Эл-ты панельных ограждений'!F22</f>
        <v>10.72</v>
      </c>
      <c r="O27" s="606">
        <f>'Эл-ты панельных ограждений'!G25</f>
        <v>96</v>
      </c>
      <c r="P27" s="488">
        <f>'Эл-ты панельных ограждений'!H22</f>
        <v>1180</v>
      </c>
    </row>
    <row r="28" spans="1:16" customFormat="1" ht="30" customHeight="1">
      <c r="A28" s="612"/>
      <c r="B28" s="123" t="s">
        <v>535</v>
      </c>
      <c r="C28" s="126">
        <v>4</v>
      </c>
      <c r="D28" s="125">
        <v>42.42</v>
      </c>
      <c r="E28" s="126">
        <v>50</v>
      </c>
      <c r="F28" s="384">
        <f t="shared" si="0"/>
        <v>5810</v>
      </c>
      <c r="G28" s="550">
        <v>5810</v>
      </c>
      <c r="H28" s="384">
        <f>ROUND(((F28+P29+($P$47*M29))/2.5),0)</f>
        <v>3343</v>
      </c>
      <c r="I28" s="529"/>
      <c r="J28" s="626"/>
      <c r="K28" s="625" t="s">
        <v>557</v>
      </c>
      <c r="L28" s="172">
        <f>'Эл-ты панельных ограждений'!D23</f>
        <v>4</v>
      </c>
      <c r="M28" s="174">
        <f>'Эл-ты панельных ограждений'!E23</f>
        <v>6</v>
      </c>
      <c r="N28" s="16">
        <f>'Эл-ты панельных ограждений'!F23</f>
        <v>15.56</v>
      </c>
      <c r="O28" s="606">
        <f>'Эл-ты панельных ограждений'!G23</f>
        <v>72</v>
      </c>
      <c r="P28" s="487">
        <f>'Эл-ты панельных ограждений'!H23</f>
        <v>1712</v>
      </c>
    </row>
    <row r="29" spans="1:16" customFormat="1" ht="30" customHeight="1">
      <c r="A29" s="613"/>
      <c r="B29" s="123" t="s">
        <v>536</v>
      </c>
      <c r="C29" s="474">
        <v>5</v>
      </c>
      <c r="D29" s="473">
        <v>47.24</v>
      </c>
      <c r="E29" s="474">
        <v>50</v>
      </c>
      <c r="F29" s="497">
        <f t="shared" si="0"/>
        <v>6393</v>
      </c>
      <c r="G29" s="551">
        <v>6393</v>
      </c>
      <c r="H29" s="384">
        <f t="shared" ref="H29:H39" si="2">ROUND(((F29+P29+($P$47*M29))/2.5),0)</f>
        <v>3576</v>
      </c>
      <c r="I29" s="529"/>
      <c r="J29" s="632"/>
      <c r="K29" s="632"/>
      <c r="L29" s="217">
        <f>'Эл-ты панельных ограждений'!D24</f>
        <v>5</v>
      </c>
      <c r="M29" s="570">
        <f>'Эл-ты панельных ограждений'!E24</f>
        <v>8</v>
      </c>
      <c r="N29" s="514">
        <f>'Эл-ты панельных ограждений'!F24</f>
        <v>19.45</v>
      </c>
      <c r="O29" s="606">
        <f>'Эл-ты панельных ограждений'!G24</f>
        <v>0</v>
      </c>
      <c r="P29" s="513">
        <f>'Эл-ты панельных ограждений'!H24</f>
        <v>2140</v>
      </c>
    </row>
    <row r="30" spans="1:16" customFormat="1" ht="30" customHeight="1">
      <c r="A30" s="611" t="s">
        <v>558</v>
      </c>
      <c r="B30" s="131" t="s">
        <v>195</v>
      </c>
      <c r="C30" s="133">
        <v>2</v>
      </c>
      <c r="D30" s="132">
        <v>11.04</v>
      </c>
      <c r="E30" s="133">
        <v>50</v>
      </c>
      <c r="F30" s="383">
        <f t="shared" si="0"/>
        <v>1762</v>
      </c>
      <c r="G30" s="547">
        <v>1762</v>
      </c>
      <c r="H30" s="383">
        <f t="shared" si="2"/>
        <v>946</v>
      </c>
      <c r="I30" s="529"/>
      <c r="J30" s="625" t="s">
        <v>226</v>
      </c>
      <c r="K30" s="625" t="s">
        <v>24</v>
      </c>
      <c r="L30" s="176">
        <f>'Эл-ты панельных ограждений'!D30</f>
        <v>1.1000000000000001</v>
      </c>
      <c r="M30" s="12">
        <f>'Эл-ты панельных ограждений'!E30</f>
        <v>2</v>
      </c>
      <c r="N30" s="15">
        <f>'Эл-ты панельных ограждений'!F30</f>
        <v>2.94</v>
      </c>
      <c r="O30" s="658">
        <f>'Эл-ты панельных ограждений'!G30</f>
        <v>96</v>
      </c>
      <c r="P30" s="486">
        <f>'Эл-ты панельных ограждений'!H30</f>
        <v>500</v>
      </c>
    </row>
    <row r="31" spans="1:16" customFormat="1" ht="30" customHeight="1">
      <c r="A31" s="612"/>
      <c r="B31" s="472" t="s">
        <v>15</v>
      </c>
      <c r="C31" s="474">
        <v>2</v>
      </c>
      <c r="D31" s="473">
        <v>13.66</v>
      </c>
      <c r="E31" s="474">
        <v>50</v>
      </c>
      <c r="F31" s="386">
        <f t="shared" si="0"/>
        <v>2180</v>
      </c>
      <c r="G31" s="548">
        <v>2180</v>
      </c>
      <c r="H31" s="386">
        <f t="shared" si="2"/>
        <v>1149</v>
      </c>
      <c r="I31" s="529"/>
      <c r="J31" s="626"/>
      <c r="K31" s="626"/>
      <c r="L31" s="172">
        <f>'Эл-ты панельных ограждений'!D31</f>
        <v>1.3</v>
      </c>
      <c r="M31" s="13">
        <f>'Эл-ты панельных ограждений'!E31</f>
        <v>2</v>
      </c>
      <c r="N31" s="16">
        <f>'Эл-ты панельных ограждений'!F31</f>
        <v>3.48</v>
      </c>
      <c r="O31" s="659"/>
      <c r="P31" s="487">
        <f>'Эл-ты панельных ограждений'!H31</f>
        <v>591</v>
      </c>
    </row>
    <row r="32" spans="1:16" customFormat="1" ht="30" customHeight="1">
      <c r="A32" s="612"/>
      <c r="B32" s="472" t="s">
        <v>461</v>
      </c>
      <c r="C32" s="474">
        <v>2</v>
      </c>
      <c r="D32" s="473">
        <v>16.29</v>
      </c>
      <c r="E32" s="474">
        <v>50</v>
      </c>
      <c r="F32" s="386">
        <f t="shared" si="0"/>
        <v>2330</v>
      </c>
      <c r="G32" s="548">
        <v>2330</v>
      </c>
      <c r="H32" s="386">
        <f t="shared" si="2"/>
        <v>1238</v>
      </c>
      <c r="I32" s="529"/>
      <c r="J32" s="626"/>
      <c r="K32" s="626"/>
      <c r="L32" s="174" t="str">
        <f>'Эл-ты панельных ограждений'!D32</f>
        <v>1,50*</v>
      </c>
      <c r="M32" s="13">
        <f>'Эл-ты панельных ограждений'!E32</f>
        <v>2</v>
      </c>
      <c r="N32" s="16">
        <f>'Эл-ты панельных ограждений'!F32</f>
        <v>4.0199999999999996</v>
      </c>
      <c r="O32" s="659"/>
      <c r="P32" s="487">
        <f>'Эл-ты панельных ограждений'!H32</f>
        <v>663</v>
      </c>
    </row>
    <row r="33" spans="1:16" customFormat="1" ht="30" customHeight="1">
      <c r="A33" s="612"/>
      <c r="B33" s="472" t="s">
        <v>17</v>
      </c>
      <c r="C33" s="474">
        <v>2</v>
      </c>
      <c r="D33" s="473">
        <v>18.91</v>
      </c>
      <c r="E33" s="474">
        <v>50</v>
      </c>
      <c r="F33" s="386">
        <f t="shared" si="0"/>
        <v>2706</v>
      </c>
      <c r="G33" s="548">
        <v>2706</v>
      </c>
      <c r="H33" s="386">
        <f t="shared" si="2"/>
        <v>1424</v>
      </c>
      <c r="I33" s="529"/>
      <c r="J33" s="626"/>
      <c r="K33" s="626"/>
      <c r="L33" s="172">
        <f>'Эл-ты панельных ограждений'!D33</f>
        <v>1.7</v>
      </c>
      <c r="M33" s="13">
        <f>'Эл-ты панельных ограждений'!E33</f>
        <v>2</v>
      </c>
      <c r="N33" s="16">
        <f>'Эл-ты панельных ограждений'!F33</f>
        <v>4.5599999999999996</v>
      </c>
      <c r="O33" s="659"/>
      <c r="P33" s="487">
        <f>'Эл-ты панельных ограждений'!H33</f>
        <v>752</v>
      </c>
    </row>
    <row r="34" spans="1:16" customFormat="1" ht="30" customHeight="1">
      <c r="A34" s="612"/>
      <c r="B34" s="472" t="s">
        <v>18</v>
      </c>
      <c r="C34" s="474">
        <v>2</v>
      </c>
      <c r="D34" s="473">
        <v>21.54</v>
      </c>
      <c r="E34" s="474">
        <v>50</v>
      </c>
      <c r="F34" s="480">
        <f t="shared" si="0"/>
        <v>3082</v>
      </c>
      <c r="G34" s="549">
        <v>3082</v>
      </c>
      <c r="H34" s="480">
        <f t="shared" si="2"/>
        <v>1609</v>
      </c>
      <c r="I34" s="529"/>
      <c r="J34" s="626"/>
      <c r="K34" s="626"/>
      <c r="L34" s="172">
        <f>'Эл-ты панельных ограждений'!D34</f>
        <v>1.9</v>
      </c>
      <c r="M34" s="13">
        <f>'Эл-ты панельных ограждений'!E34</f>
        <v>2</v>
      </c>
      <c r="N34" s="16">
        <f>'Эл-ты панельных ограждений'!F34</f>
        <v>5.09</v>
      </c>
      <c r="O34" s="659"/>
      <c r="P34" s="487">
        <f>'Эл-ты панельных ограждений'!H34</f>
        <v>839</v>
      </c>
    </row>
    <row r="35" spans="1:16" customFormat="1" ht="30" customHeight="1">
      <c r="A35" s="612"/>
      <c r="B35" s="123" t="s">
        <v>546</v>
      </c>
      <c r="C35" s="126">
        <v>3</v>
      </c>
      <c r="D35" s="125">
        <v>24</v>
      </c>
      <c r="E35" s="126">
        <v>50</v>
      </c>
      <c r="F35" s="384">
        <f t="shared" si="0"/>
        <v>3432</v>
      </c>
      <c r="G35" s="550">
        <v>3432</v>
      </c>
      <c r="H35" s="384">
        <f t="shared" si="2"/>
        <v>1777</v>
      </c>
      <c r="I35" s="529"/>
      <c r="J35" s="626"/>
      <c r="K35" s="626"/>
      <c r="L35" s="172" t="str">
        <f>'Эл-ты панельных ограждений'!D35</f>
        <v>2,0**</v>
      </c>
      <c r="M35" s="13">
        <f>'Эл-ты панельных ограждений'!E35</f>
        <v>3</v>
      </c>
      <c r="N35" s="16">
        <f>'Эл-ты панельных ограждений'!F35</f>
        <v>5.36</v>
      </c>
      <c r="O35" s="659"/>
      <c r="P35" s="487">
        <f>'Эл-ты панельных ограждений'!H35</f>
        <v>857</v>
      </c>
    </row>
    <row r="36" spans="1:16" customFormat="1" ht="30" customHeight="1">
      <c r="A36" s="612"/>
      <c r="B36" s="123" t="s">
        <v>537</v>
      </c>
      <c r="C36" s="477">
        <v>3</v>
      </c>
      <c r="D36" s="476">
        <v>26.63</v>
      </c>
      <c r="E36" s="477">
        <v>50</v>
      </c>
      <c r="F36" s="384">
        <f t="shared" si="0"/>
        <v>3663</v>
      </c>
      <c r="G36" s="550">
        <v>3663</v>
      </c>
      <c r="H36" s="384">
        <f t="shared" si="2"/>
        <v>1904</v>
      </c>
      <c r="I36" s="529"/>
      <c r="J36" s="626"/>
      <c r="K36" s="626"/>
      <c r="L36" s="172" t="str">
        <f>'Эл-ты панельных ограждений'!D36</f>
        <v>2,20**</v>
      </c>
      <c r="M36" s="13">
        <f>'Эл-ты панельных ограждений'!E36</f>
        <v>3</v>
      </c>
      <c r="N36" s="16">
        <f>'Эл-ты панельных ограждений'!F36</f>
        <v>5.9</v>
      </c>
      <c r="O36" s="659"/>
      <c r="P36" s="487">
        <f>'Эл-ты панельных ограждений'!H36</f>
        <v>944</v>
      </c>
    </row>
    <row r="37" spans="1:16" customFormat="1" ht="30" customHeight="1">
      <c r="A37" s="612"/>
      <c r="B37" s="123" t="s">
        <v>273</v>
      </c>
      <c r="C37" s="126">
        <v>3</v>
      </c>
      <c r="D37" s="125">
        <v>29.25</v>
      </c>
      <c r="E37" s="126">
        <v>50</v>
      </c>
      <c r="F37" s="384">
        <f t="shared" si="0"/>
        <v>4024</v>
      </c>
      <c r="G37" s="550">
        <v>4024</v>
      </c>
      <c r="H37" s="384">
        <f t="shared" si="2"/>
        <v>2070</v>
      </c>
      <c r="I37" s="529"/>
      <c r="J37" s="626"/>
      <c r="K37" s="626"/>
      <c r="L37" s="172">
        <f>'Эл-ты панельных ограждений'!D37</f>
        <v>2.4</v>
      </c>
      <c r="M37" s="13">
        <f>'Эл-ты панельных ограждений'!E37</f>
        <v>3</v>
      </c>
      <c r="N37" s="16">
        <f>'Эл-ты панельных ограждений'!F37</f>
        <v>6.43</v>
      </c>
      <c r="O37" s="659"/>
      <c r="P37" s="487">
        <f>'Эл-ты панельных ограждений'!H37</f>
        <v>998</v>
      </c>
    </row>
    <row r="38" spans="1:16" customFormat="1" ht="30" customHeight="1">
      <c r="A38" s="612"/>
      <c r="B38" s="123" t="s">
        <v>446</v>
      </c>
      <c r="C38" s="474">
        <v>4</v>
      </c>
      <c r="D38" s="473">
        <v>31.71</v>
      </c>
      <c r="E38" s="474">
        <v>50</v>
      </c>
      <c r="F38" s="384">
        <f t="shared" si="0"/>
        <v>4360</v>
      </c>
      <c r="G38" s="550">
        <v>4360</v>
      </c>
      <c r="H38" s="384">
        <f t="shared" si="2"/>
        <v>2241</v>
      </c>
      <c r="I38" s="529"/>
      <c r="J38" s="626"/>
      <c r="K38" s="626"/>
      <c r="L38" s="172" t="str">
        <f>'Эл-ты панельных ограждений'!D38</f>
        <v>2,50***</v>
      </c>
      <c r="M38" s="13">
        <f>'Эл-ты панельных ограждений'!E38</f>
        <v>4</v>
      </c>
      <c r="N38" s="16">
        <f>'Эл-ты панельных ограждений'!F38</f>
        <v>6.7</v>
      </c>
      <c r="O38" s="659"/>
      <c r="P38" s="487">
        <f>'Эл-ты панельных ограждений'!H38</f>
        <v>1039</v>
      </c>
    </row>
    <row r="39" spans="1:16" customFormat="1" ht="30" customHeight="1">
      <c r="A39" s="612"/>
      <c r="B39" s="123" t="s">
        <v>22</v>
      </c>
      <c r="C39" s="474">
        <v>4</v>
      </c>
      <c r="D39" s="473">
        <v>34.340000000000003</v>
      </c>
      <c r="E39" s="474">
        <v>50</v>
      </c>
      <c r="F39" s="384">
        <f t="shared" si="0"/>
        <v>4723</v>
      </c>
      <c r="G39" s="550">
        <v>4723</v>
      </c>
      <c r="H39" s="384">
        <f t="shared" si="2"/>
        <v>2469</v>
      </c>
      <c r="I39" s="529"/>
      <c r="J39" s="626"/>
      <c r="K39" s="626"/>
      <c r="L39" s="174" t="str">
        <f>'Эл-ты панельных ограждений'!D39</f>
        <v>3,0***</v>
      </c>
      <c r="M39" s="13">
        <f>'Эл-ты панельных ограждений'!E39</f>
        <v>4</v>
      </c>
      <c r="N39" s="16">
        <f>'Эл-ты панельных ограждений'!F39</f>
        <v>8.0399999999999991</v>
      </c>
      <c r="O39" s="659"/>
      <c r="P39" s="487">
        <f>'Эл-ты панельных ограждений'!H39</f>
        <v>1246</v>
      </c>
    </row>
    <row r="40" spans="1:16" customFormat="1" ht="30" customHeight="1">
      <c r="A40" s="612"/>
      <c r="B40" s="123" t="s">
        <v>462</v>
      </c>
      <c r="C40" s="474">
        <v>4</v>
      </c>
      <c r="D40" s="473">
        <v>36.96</v>
      </c>
      <c r="E40" s="474">
        <v>50</v>
      </c>
      <c r="F40" s="384">
        <f t="shared" si="0"/>
        <v>5082</v>
      </c>
      <c r="G40" s="550">
        <v>5082</v>
      </c>
      <c r="H40" s="384">
        <f>ROUND(((F40+P39+($P$47*M39))/2.5),0)</f>
        <v>2613</v>
      </c>
      <c r="I40" s="529"/>
      <c r="J40" s="626"/>
      <c r="K40" s="626"/>
      <c r="L40" s="571" t="str">
        <f>'Эл-ты панельных ограждений'!D40</f>
        <v>4,0***</v>
      </c>
      <c r="M40" s="572">
        <f>'Эл-ты панельных ограждений'!E40</f>
        <v>6</v>
      </c>
      <c r="N40" s="573">
        <f>'Эл-ты панельных ограждений'!F40</f>
        <v>10.72</v>
      </c>
      <c r="O40" s="659"/>
      <c r="P40" s="574">
        <f>'Эл-ты панельных ограждений'!H40</f>
        <v>1661</v>
      </c>
    </row>
    <row r="41" spans="1:16" customFormat="1" ht="30" customHeight="1">
      <c r="A41" s="612"/>
      <c r="B41" s="123" t="s">
        <v>533</v>
      </c>
      <c r="C41" s="474">
        <v>4</v>
      </c>
      <c r="D41" s="473">
        <v>37.9</v>
      </c>
      <c r="E41" s="474">
        <v>50</v>
      </c>
      <c r="F41" s="384">
        <f t="shared" si="0"/>
        <v>5212</v>
      </c>
      <c r="G41" s="550">
        <v>5212</v>
      </c>
      <c r="H41" s="384">
        <f>ROUND(((F41+P46+($P$47*M46))/2.5),0)</f>
        <v>3454</v>
      </c>
      <c r="I41" s="529"/>
      <c r="J41" s="626"/>
      <c r="K41" s="625" t="s">
        <v>282</v>
      </c>
      <c r="L41" s="569" t="str">
        <f>'Эл-ты панельных ограждений'!D28</f>
        <v>4,0**</v>
      </c>
      <c r="M41" s="12">
        <f>'Эл-ты панельных ограждений'!E28</f>
        <v>6</v>
      </c>
      <c r="N41" s="15">
        <f>'Эл-ты панельных ограждений'!F28</f>
        <v>18.2</v>
      </c>
      <c r="O41" s="607">
        <f>'Эл-ты панельных ограждений'!G28</f>
        <v>72</v>
      </c>
      <c r="P41" s="486">
        <f>'Эл-ты панельных ограждений'!H28</f>
        <v>2654</v>
      </c>
    </row>
    <row r="42" spans="1:16" customFormat="1" ht="30" customHeight="1">
      <c r="A42" s="612"/>
      <c r="B42" s="123" t="s">
        <v>534</v>
      </c>
      <c r="C42" s="474">
        <v>4</v>
      </c>
      <c r="D42" s="473">
        <v>40.42</v>
      </c>
      <c r="E42" s="474">
        <v>50</v>
      </c>
      <c r="F42" s="384">
        <f t="shared" si="0"/>
        <v>5559</v>
      </c>
      <c r="G42" s="550">
        <v>5559</v>
      </c>
      <c r="H42" s="384">
        <f>ROUND(((F42+P46+($P$47*M46))/2.5),0)</f>
        <v>3593</v>
      </c>
      <c r="I42" s="529"/>
      <c r="J42" s="626"/>
      <c r="K42" s="632"/>
      <c r="L42" s="175" t="str">
        <f>'Эл-ты панельных ограждений'!D29</f>
        <v>5,0**</v>
      </c>
      <c r="M42" s="18">
        <f>'Эл-ты панельных ограждений'!E29</f>
        <v>8</v>
      </c>
      <c r="N42" s="17">
        <f>'Эл-ты панельных ограждений'!F29</f>
        <v>22.75</v>
      </c>
      <c r="O42" s="608"/>
      <c r="P42" s="488">
        <f>'Эл-ты панельных ограждений'!H29</f>
        <v>3317</v>
      </c>
    </row>
    <row r="43" spans="1:16" customFormat="1" ht="30" customHeight="1">
      <c r="A43" s="612"/>
      <c r="B43" s="123" t="s">
        <v>535</v>
      </c>
      <c r="C43" s="126">
        <v>4</v>
      </c>
      <c r="D43" s="125">
        <v>42.93</v>
      </c>
      <c r="E43" s="126">
        <v>50</v>
      </c>
      <c r="F43" s="384">
        <f t="shared" si="0"/>
        <v>6140</v>
      </c>
      <c r="G43" s="550">
        <v>6140</v>
      </c>
      <c r="H43" s="384">
        <f>ROUND(((F43+P46+($P$47*M46))/2.5),0)</f>
        <v>3825</v>
      </c>
      <c r="I43" s="529"/>
      <c r="J43" s="626"/>
      <c r="K43" s="626" t="s">
        <v>284</v>
      </c>
      <c r="L43" s="357">
        <f>'Эл-ты панельных ограждений'!D41</f>
        <v>4</v>
      </c>
      <c r="M43" s="358">
        <f>'Эл-ты панельных ограждений'!E41</f>
        <v>6</v>
      </c>
      <c r="N43" s="359">
        <f>'Эл-ты панельных ограждений'!F41</f>
        <v>20</v>
      </c>
      <c r="O43" s="644">
        <f>'Эл-ты панельных ограждений'!G41</f>
        <v>54</v>
      </c>
      <c r="P43" s="575">
        <f>'Эл-ты панельных ограждений'!H41</f>
        <v>2897</v>
      </c>
    </row>
    <row r="44" spans="1:16" customFormat="1" ht="30" customHeight="1">
      <c r="A44" s="613"/>
      <c r="B44" s="489" t="s">
        <v>536</v>
      </c>
      <c r="C44" s="495">
        <v>5</v>
      </c>
      <c r="D44" s="496">
        <v>47.8</v>
      </c>
      <c r="E44" s="495">
        <v>50</v>
      </c>
      <c r="F44" s="497">
        <f t="shared" si="0"/>
        <v>6835</v>
      </c>
      <c r="G44" s="551">
        <v>6835</v>
      </c>
      <c r="H44" s="384">
        <f>ROUND(((F44+P46+($P$47*M46))/2.5),0)</f>
        <v>4103</v>
      </c>
      <c r="I44" s="529"/>
      <c r="J44" s="626"/>
      <c r="K44" s="632"/>
      <c r="L44" s="173">
        <f>'Эл-ты панельных ограждений'!D42</f>
        <v>5</v>
      </c>
      <c r="M44" s="18">
        <f>'Эл-ты панельных ограждений'!E42</f>
        <v>8</v>
      </c>
      <c r="N44" s="17">
        <f>'Эл-ты панельных ограждений'!F42</f>
        <v>25</v>
      </c>
      <c r="O44" s="608"/>
      <c r="P44" s="488">
        <f>'Эл-ты панельных ограждений'!H42</f>
        <v>3698</v>
      </c>
    </row>
    <row r="45" spans="1:16" customFormat="1" ht="30" customHeight="1">
      <c r="A45" s="611" t="s">
        <v>538</v>
      </c>
      <c r="B45" s="131" t="s">
        <v>16</v>
      </c>
      <c r="C45" s="132" t="s">
        <v>44</v>
      </c>
      <c r="D45" s="132">
        <v>13.38</v>
      </c>
      <c r="E45" s="133">
        <v>40</v>
      </c>
      <c r="F45" s="383">
        <f t="shared" si="0"/>
        <v>2015</v>
      </c>
      <c r="G45" s="547">
        <v>2015</v>
      </c>
      <c r="H45" s="383">
        <f t="shared" ref="H45:H50" si="3">ROUND(((F45+P19+($P$47*M19))/2.5),0)</f>
        <v>1040</v>
      </c>
      <c r="I45" s="529"/>
      <c r="J45" s="626"/>
      <c r="K45" s="625" t="s">
        <v>557</v>
      </c>
      <c r="L45" s="172" t="str">
        <f>'Эл-ты панельных ограждений'!D45</f>
        <v>4,0**</v>
      </c>
      <c r="M45" s="13">
        <f>'Эл-ты панельных ограждений'!E45</f>
        <v>6</v>
      </c>
      <c r="N45" s="16">
        <f>'Эл-ты панельных ограждений'!F45</f>
        <v>15.56</v>
      </c>
      <c r="O45" s="607">
        <f>'Эл-ты панельных ограждений'!G45</f>
        <v>72</v>
      </c>
      <c r="P45" s="487">
        <f>'Эл-ты панельных ограждений'!H45</f>
        <v>2412</v>
      </c>
    </row>
    <row r="46" spans="1:16" customFormat="1" ht="30" customHeight="1">
      <c r="A46" s="612"/>
      <c r="B46" s="472" t="s">
        <v>17</v>
      </c>
      <c r="C46" s="473" t="s">
        <v>44</v>
      </c>
      <c r="D46" s="473">
        <v>15.8</v>
      </c>
      <c r="E46" s="474">
        <v>40</v>
      </c>
      <c r="F46" s="386">
        <f t="shared" si="0"/>
        <v>2378</v>
      </c>
      <c r="G46" s="548">
        <v>2378</v>
      </c>
      <c r="H46" s="386">
        <f t="shared" si="3"/>
        <v>1211</v>
      </c>
      <c r="I46" s="529"/>
      <c r="J46" s="632"/>
      <c r="K46" s="632"/>
      <c r="L46" s="173" t="str">
        <f>'Эл-ты панельных ограждений'!D46</f>
        <v>5,0**</v>
      </c>
      <c r="M46" s="18">
        <f>'Эл-ты панельных ограждений'!E46</f>
        <v>8</v>
      </c>
      <c r="N46" s="17">
        <f>'Эл-ты панельных ограждений'!F46</f>
        <v>19.45</v>
      </c>
      <c r="O46" s="608"/>
      <c r="P46" s="488">
        <f>'Эл-ты панельных ограждений'!H46</f>
        <v>3015</v>
      </c>
    </row>
    <row r="47" spans="1:16" customFormat="1" ht="30" customHeight="1">
      <c r="A47" s="612"/>
      <c r="B47" s="472" t="s">
        <v>18</v>
      </c>
      <c r="C47" s="473" t="s">
        <v>44</v>
      </c>
      <c r="D47" s="473">
        <v>18.21</v>
      </c>
      <c r="E47" s="474">
        <v>40</v>
      </c>
      <c r="F47" s="386">
        <f t="shared" si="0"/>
        <v>2438</v>
      </c>
      <c r="G47" s="548">
        <v>2438</v>
      </c>
      <c r="H47" s="386">
        <f t="shared" si="3"/>
        <v>1250</v>
      </c>
      <c r="I47" s="529"/>
      <c r="J47" s="646" t="s">
        <v>34</v>
      </c>
      <c r="K47" s="647"/>
      <c r="L47" s="648"/>
      <c r="M47" s="636" t="s">
        <v>335</v>
      </c>
      <c r="N47" s="655">
        <f>'Эл-ты панельных ограждений'!F53</f>
        <v>0.05</v>
      </c>
      <c r="O47" s="658">
        <f>'Эл-ты панельных ограждений'!G53</f>
        <v>100</v>
      </c>
      <c r="P47" s="633">
        <f>'Эл-ты панельных ограждений'!H53</f>
        <v>51</v>
      </c>
    </row>
    <row r="48" spans="1:16" customFormat="1" ht="30" customHeight="1">
      <c r="A48" s="612"/>
      <c r="B48" s="472" t="s">
        <v>528</v>
      </c>
      <c r="C48" s="473" t="s">
        <v>44</v>
      </c>
      <c r="D48" s="473">
        <v>20.63</v>
      </c>
      <c r="E48" s="474">
        <v>40</v>
      </c>
      <c r="F48" s="386">
        <f t="shared" si="0"/>
        <v>2759</v>
      </c>
      <c r="G48" s="548">
        <v>2759</v>
      </c>
      <c r="H48" s="386">
        <f t="shared" si="3"/>
        <v>1411</v>
      </c>
      <c r="I48" s="529"/>
      <c r="J48" s="649"/>
      <c r="K48" s="650"/>
      <c r="L48" s="651"/>
      <c r="M48" s="645"/>
      <c r="N48" s="656"/>
      <c r="O48" s="659"/>
      <c r="P48" s="634"/>
    </row>
    <row r="49" spans="1:16" customFormat="1" ht="30" customHeight="1">
      <c r="A49" s="612"/>
      <c r="B49" s="472" t="s">
        <v>529</v>
      </c>
      <c r="C49" s="473" t="s">
        <v>44</v>
      </c>
      <c r="D49" s="473">
        <v>23.04</v>
      </c>
      <c r="E49" s="474">
        <v>40</v>
      </c>
      <c r="F49" s="480">
        <f t="shared" si="0"/>
        <v>3082</v>
      </c>
      <c r="G49" s="549">
        <v>3082</v>
      </c>
      <c r="H49" s="480">
        <f t="shared" si="3"/>
        <v>1565</v>
      </c>
      <c r="I49" s="529"/>
      <c r="J49" s="649"/>
      <c r="K49" s="650"/>
      <c r="L49" s="651"/>
      <c r="M49" s="645"/>
      <c r="N49" s="656"/>
      <c r="O49" s="659"/>
      <c r="P49" s="634"/>
    </row>
    <row r="50" spans="1:16" customFormat="1" ht="30" customHeight="1">
      <c r="A50" s="612"/>
      <c r="B50" s="123" t="s">
        <v>167</v>
      </c>
      <c r="C50" s="125" t="s">
        <v>44</v>
      </c>
      <c r="D50" s="125">
        <v>25.46</v>
      </c>
      <c r="E50" s="126">
        <v>40</v>
      </c>
      <c r="F50" s="384">
        <f t="shared" si="0"/>
        <v>3406</v>
      </c>
      <c r="G50" s="550">
        <v>3406</v>
      </c>
      <c r="H50" s="384">
        <f t="shared" si="3"/>
        <v>1718</v>
      </c>
      <c r="I50" s="529"/>
      <c r="J50" s="649"/>
      <c r="K50" s="650"/>
      <c r="L50" s="651"/>
      <c r="M50" s="645"/>
      <c r="N50" s="656"/>
      <c r="O50" s="659"/>
      <c r="P50" s="634"/>
    </row>
    <row r="51" spans="1:16" customFormat="1" ht="30" customHeight="1">
      <c r="A51" s="612"/>
      <c r="B51" s="123" t="s">
        <v>22</v>
      </c>
      <c r="C51" s="476" t="s">
        <v>44</v>
      </c>
      <c r="D51" s="476">
        <v>27.87</v>
      </c>
      <c r="E51" s="477">
        <v>40</v>
      </c>
      <c r="F51" s="384">
        <f t="shared" si="0"/>
        <v>3729</v>
      </c>
      <c r="G51" s="550">
        <v>3729</v>
      </c>
      <c r="H51" s="384">
        <f>ROUND(((F51+P26+($P$47*M26))/2.5),0)</f>
        <v>1927</v>
      </c>
      <c r="I51" s="529"/>
      <c r="J51" s="649"/>
      <c r="K51" s="650"/>
      <c r="L51" s="651"/>
      <c r="M51" s="645"/>
      <c r="N51" s="656"/>
      <c r="O51" s="659"/>
      <c r="P51" s="634"/>
    </row>
    <row r="52" spans="1:16" customFormat="1" ht="30" customHeight="1">
      <c r="A52" s="612"/>
      <c r="B52" s="123" t="s">
        <v>23</v>
      </c>
      <c r="C52" s="125" t="s">
        <v>44</v>
      </c>
      <c r="D52" s="125">
        <v>30.29</v>
      </c>
      <c r="E52" s="126">
        <v>40</v>
      </c>
      <c r="F52" s="384">
        <f t="shared" si="0"/>
        <v>4052</v>
      </c>
      <c r="G52" s="550">
        <v>4052</v>
      </c>
      <c r="H52" s="384">
        <f>ROUND(((F52+P26+($P$47*M26))/2.5),0)</f>
        <v>2056</v>
      </c>
      <c r="I52" s="529"/>
      <c r="J52" s="652"/>
      <c r="K52" s="653"/>
      <c r="L52" s="654"/>
      <c r="M52" s="637"/>
      <c r="N52" s="657"/>
      <c r="O52" s="660"/>
      <c r="P52" s="635"/>
    </row>
    <row r="53" spans="1:16" customFormat="1" ht="30" customHeight="1">
      <c r="A53" s="612"/>
      <c r="B53" s="123" t="s">
        <v>533</v>
      </c>
      <c r="C53" s="473" t="s">
        <v>44</v>
      </c>
      <c r="D53" s="473">
        <v>31.41</v>
      </c>
      <c r="E53" s="474">
        <v>40</v>
      </c>
      <c r="F53" s="384">
        <f t="shared" si="0"/>
        <v>4202</v>
      </c>
      <c r="G53" s="550">
        <v>4202</v>
      </c>
      <c r="H53" s="384">
        <f>ROUND(((F53+P29+($P$47*M29))/2.5),0)</f>
        <v>2700</v>
      </c>
      <c r="I53" s="529"/>
      <c r="J53" s="638" t="s">
        <v>447</v>
      </c>
      <c r="K53" s="639"/>
      <c r="L53" s="640"/>
      <c r="M53" s="636" t="s">
        <v>335</v>
      </c>
      <c r="N53" s="609">
        <f>'Эл-ты панельных ограждений'!F56</f>
        <v>7.0000000000000007E-2</v>
      </c>
      <c r="O53" s="609">
        <f>'Эл-ты панельных ограждений'!G57</f>
        <v>100</v>
      </c>
      <c r="P53" s="633">
        <f>'Эл-ты панельных ограждений'!H56</f>
        <v>32</v>
      </c>
    </row>
    <row r="54" spans="1:16" customFormat="1" ht="30" customHeight="1">
      <c r="A54" s="612"/>
      <c r="B54" s="123" t="s">
        <v>534</v>
      </c>
      <c r="C54" s="473" t="s">
        <v>44</v>
      </c>
      <c r="D54" s="473">
        <v>33.729999999999997</v>
      </c>
      <c r="E54" s="474">
        <v>40</v>
      </c>
      <c r="F54" s="384">
        <f t="shared" si="0"/>
        <v>4512</v>
      </c>
      <c r="G54" s="550">
        <v>4512</v>
      </c>
      <c r="H54" s="384">
        <f>ROUND(((F54+P29+($P$47*M29))/2.5),0)</f>
        <v>2824</v>
      </c>
      <c r="I54" s="529"/>
      <c r="J54" s="641"/>
      <c r="K54" s="642"/>
      <c r="L54" s="643"/>
      <c r="M54" s="637"/>
      <c r="N54" s="610"/>
      <c r="O54" s="610"/>
      <c r="P54" s="635"/>
    </row>
    <row r="55" spans="1:16" customFormat="1" ht="30" customHeight="1">
      <c r="A55" s="612"/>
      <c r="B55" s="123" t="s">
        <v>535</v>
      </c>
      <c r="C55" s="473" t="s">
        <v>44</v>
      </c>
      <c r="D55" s="473">
        <v>36.049999999999997</v>
      </c>
      <c r="E55" s="474">
        <v>40</v>
      </c>
      <c r="F55" s="384">
        <f t="shared" si="0"/>
        <v>5025</v>
      </c>
      <c r="G55" s="550">
        <v>5025</v>
      </c>
      <c r="H55" s="384">
        <f>ROUND(((F55+P29+($P$47*M29))/2.5),0)</f>
        <v>3029</v>
      </c>
      <c r="I55" s="529"/>
      <c r="J55" s="1"/>
      <c r="K55" s="1"/>
      <c r="L55" s="1"/>
      <c r="M55" s="1"/>
      <c r="N55" s="1"/>
      <c r="O55" s="1"/>
      <c r="P55" s="1"/>
    </row>
    <row r="56" spans="1:16" customFormat="1" ht="30" customHeight="1">
      <c r="A56" s="612"/>
      <c r="B56" s="123" t="s">
        <v>561</v>
      </c>
      <c r="C56" s="125" t="s">
        <v>44</v>
      </c>
      <c r="D56" s="125">
        <v>38.369999999999997</v>
      </c>
      <c r="E56" s="126">
        <v>40</v>
      </c>
      <c r="F56" s="384">
        <f t="shared" si="0"/>
        <v>5348</v>
      </c>
      <c r="G56" s="550">
        <v>5348</v>
      </c>
      <c r="H56" s="384">
        <f>ROUND(((F56+P29+($P$47*M29))/2.5),0)</f>
        <v>3158</v>
      </c>
      <c r="I56" s="529"/>
      <c r="J56" s="1"/>
      <c r="K56" s="1"/>
      <c r="L56" s="1"/>
      <c r="M56" s="1"/>
      <c r="N56" s="1"/>
      <c r="O56" s="1"/>
      <c r="P56" s="1"/>
    </row>
    <row r="57" spans="1:16" customFormat="1" ht="30" customHeight="1">
      <c r="A57" s="613"/>
      <c r="B57" s="123" t="s">
        <v>562</v>
      </c>
      <c r="C57" s="123" t="s">
        <v>44</v>
      </c>
      <c r="D57" s="123">
        <v>40.69</v>
      </c>
      <c r="E57" s="126">
        <v>40</v>
      </c>
      <c r="F57" s="498">
        <f t="shared" si="0"/>
        <v>5672</v>
      </c>
      <c r="G57" s="551">
        <v>5672</v>
      </c>
      <c r="H57" s="384">
        <f>ROUND(((F57+P29+($P$47*M29))/2.5),0)</f>
        <v>3288</v>
      </c>
      <c r="I57" s="529"/>
      <c r="J57" s="1"/>
      <c r="K57" s="1"/>
      <c r="L57" s="1"/>
      <c r="M57" s="1"/>
      <c r="N57" s="1"/>
      <c r="O57" s="1"/>
      <c r="P57" s="1"/>
    </row>
    <row r="58" spans="1:16" customFormat="1" ht="27" customHeight="1">
      <c r="A58" s="611" t="s">
        <v>539</v>
      </c>
      <c r="B58" s="131" t="s">
        <v>543</v>
      </c>
      <c r="C58" s="132" t="s">
        <v>44</v>
      </c>
      <c r="D58" s="132">
        <v>13.56</v>
      </c>
      <c r="E58" s="133">
        <v>40</v>
      </c>
      <c r="F58" s="383">
        <f t="shared" si="0"/>
        <v>2090</v>
      </c>
      <c r="G58" s="547">
        <v>2090</v>
      </c>
      <c r="H58" s="208">
        <f>ROUND(((F58+P32+($P$47*M32))/2.5),0)</f>
        <v>1142</v>
      </c>
      <c r="I58" s="529"/>
    </row>
    <row r="59" spans="1:16" customFormat="1" ht="27" customHeight="1">
      <c r="A59" s="612"/>
      <c r="B59" s="472" t="s">
        <v>17</v>
      </c>
      <c r="C59" s="473" t="s">
        <v>44</v>
      </c>
      <c r="D59" s="473">
        <v>16.010000000000002</v>
      </c>
      <c r="E59" s="474">
        <v>40</v>
      </c>
      <c r="F59" s="386">
        <f t="shared" si="0"/>
        <v>2466</v>
      </c>
      <c r="G59" s="548">
        <v>2466</v>
      </c>
      <c r="H59" s="209">
        <f>ROUND(((F59+P33+($P$47*M33))/2.5),0)</f>
        <v>1328</v>
      </c>
      <c r="I59" s="529"/>
    </row>
    <row r="60" spans="1:16" customFormat="1" ht="27" customHeight="1">
      <c r="A60" s="612"/>
      <c r="B60" s="472" t="s">
        <v>18</v>
      </c>
      <c r="C60" s="473" t="s">
        <v>44</v>
      </c>
      <c r="D60" s="473">
        <v>18.46</v>
      </c>
      <c r="E60" s="474">
        <v>40</v>
      </c>
      <c r="F60" s="386">
        <f t="shared" si="0"/>
        <v>2539</v>
      </c>
      <c r="G60" s="548">
        <v>2539</v>
      </c>
      <c r="H60" s="209">
        <f>ROUND(((F60+P34+($P$47*M34))/2.5),0)</f>
        <v>1392</v>
      </c>
      <c r="I60" s="529"/>
    </row>
    <row r="61" spans="1:16" customFormat="1" ht="27" customHeight="1">
      <c r="A61" s="612"/>
      <c r="B61" s="472" t="s">
        <v>528</v>
      </c>
      <c r="C61" s="473" t="s">
        <v>44</v>
      </c>
      <c r="D61" s="473">
        <v>20.9</v>
      </c>
      <c r="E61" s="474">
        <v>40</v>
      </c>
      <c r="F61" s="386">
        <f t="shared" si="0"/>
        <v>2875</v>
      </c>
      <c r="G61" s="548">
        <v>2875</v>
      </c>
      <c r="H61" s="209">
        <f>ROUND(((F61+P35+($P$47*M35))/2.5),0)</f>
        <v>1554</v>
      </c>
      <c r="I61" s="529"/>
    </row>
    <row r="62" spans="1:16" customFormat="1" ht="27" customHeight="1">
      <c r="A62" s="612"/>
      <c r="B62" s="472" t="s">
        <v>529</v>
      </c>
      <c r="C62" s="473" t="s">
        <v>44</v>
      </c>
      <c r="D62" s="473">
        <v>23.35</v>
      </c>
      <c r="E62" s="474">
        <v>40</v>
      </c>
      <c r="F62" s="480">
        <f t="shared" si="0"/>
        <v>3212</v>
      </c>
      <c r="G62" s="549">
        <v>3212</v>
      </c>
      <c r="H62" s="209">
        <f>ROUND(((F62+P36+($P$47*M36))/2.5),0)</f>
        <v>1724</v>
      </c>
      <c r="I62" s="529"/>
    </row>
    <row r="63" spans="1:16" customFormat="1" ht="27" customHeight="1">
      <c r="A63" s="612"/>
      <c r="B63" s="123" t="s">
        <v>544</v>
      </c>
      <c r="C63" s="125" t="s">
        <v>44</v>
      </c>
      <c r="D63" s="125">
        <v>25.8</v>
      </c>
      <c r="E63" s="126">
        <v>40</v>
      </c>
      <c r="F63" s="384">
        <f t="shared" si="0"/>
        <v>3549</v>
      </c>
      <c r="G63" s="550">
        <v>3549</v>
      </c>
      <c r="H63" s="209">
        <f>ROUND(((F63+P38+($P$47*M38))/2.5),0)</f>
        <v>1917</v>
      </c>
      <c r="I63" s="529"/>
    </row>
    <row r="64" spans="1:16" customFormat="1" ht="27" customHeight="1">
      <c r="A64" s="612"/>
      <c r="B64" s="123" t="s">
        <v>22</v>
      </c>
      <c r="C64" s="476" t="s">
        <v>44</v>
      </c>
      <c r="D64" s="476">
        <v>28.25</v>
      </c>
      <c r="E64" s="477">
        <v>40</v>
      </c>
      <c r="F64" s="384">
        <f t="shared" si="0"/>
        <v>3885</v>
      </c>
      <c r="G64" s="550">
        <v>3885</v>
      </c>
      <c r="H64" s="209">
        <f>ROUND(((F64+P39+($P$47*M39))/2.5),0)</f>
        <v>2134</v>
      </c>
      <c r="I64" s="529"/>
    </row>
    <row r="65" spans="1:16" customFormat="1" ht="27" customHeight="1">
      <c r="A65" s="612"/>
      <c r="B65" s="123" t="s">
        <v>545</v>
      </c>
      <c r="C65" s="125" t="s">
        <v>44</v>
      </c>
      <c r="D65" s="125">
        <v>30.69</v>
      </c>
      <c r="E65" s="126">
        <v>40</v>
      </c>
      <c r="F65" s="384">
        <f t="shared" si="0"/>
        <v>4222</v>
      </c>
      <c r="G65" s="550">
        <v>4222</v>
      </c>
      <c r="H65" s="209">
        <f>ROUND(((F65+P39+($P$47*M39))/2.5),0)</f>
        <v>2269</v>
      </c>
      <c r="I65" s="529"/>
    </row>
    <row r="66" spans="1:16" customFormat="1" ht="27.75" customHeight="1">
      <c r="A66" s="612"/>
      <c r="B66" s="123" t="s">
        <v>530</v>
      </c>
      <c r="C66" s="473" t="s">
        <v>44</v>
      </c>
      <c r="D66" s="473">
        <v>31.83</v>
      </c>
      <c r="E66" s="474">
        <v>40</v>
      </c>
      <c r="F66" s="384">
        <f t="shared" si="0"/>
        <v>4378</v>
      </c>
      <c r="G66" s="550">
        <v>4378</v>
      </c>
      <c r="H66" s="209">
        <f>ROUND(((F66+P46+($P$47*M46))/2.5),0)</f>
        <v>3120</v>
      </c>
      <c r="I66" s="529"/>
      <c r="J66" s="1"/>
      <c r="K66" s="1"/>
      <c r="L66" s="1"/>
      <c r="M66" s="1"/>
      <c r="N66" s="1"/>
      <c r="O66" s="1"/>
      <c r="P66" s="1"/>
    </row>
    <row r="67" spans="1:16" customFormat="1" ht="27.75" customHeight="1">
      <c r="A67" s="612"/>
      <c r="B67" s="123" t="s">
        <v>534</v>
      </c>
      <c r="C67" s="473" t="s">
        <v>44</v>
      </c>
      <c r="D67" s="473">
        <v>34.18</v>
      </c>
      <c r="E67" s="474">
        <v>40</v>
      </c>
      <c r="F67" s="384">
        <f t="shared" si="0"/>
        <v>4701</v>
      </c>
      <c r="G67" s="550">
        <v>4701</v>
      </c>
      <c r="H67" s="209">
        <f>ROUND(((F67+P46+($P$47*M46))/2.5),0)</f>
        <v>3250</v>
      </c>
      <c r="I67" s="529"/>
      <c r="J67" s="1"/>
      <c r="K67" s="1"/>
      <c r="L67" s="1"/>
      <c r="M67" s="1"/>
      <c r="N67" s="1"/>
      <c r="O67" s="1"/>
      <c r="P67" s="1"/>
    </row>
    <row r="68" spans="1:16" customFormat="1" ht="27.75" customHeight="1">
      <c r="A68" s="612"/>
      <c r="B68" s="123" t="s">
        <v>535</v>
      </c>
      <c r="C68" s="473" t="s">
        <v>44</v>
      </c>
      <c r="D68" s="473">
        <v>36.54</v>
      </c>
      <c r="E68" s="474">
        <v>40</v>
      </c>
      <c r="F68" s="384">
        <f t="shared" si="0"/>
        <v>5227</v>
      </c>
      <c r="G68" s="550">
        <v>5227</v>
      </c>
      <c r="H68" s="209">
        <f>ROUND(((F68+P46+($P$47*M46))/2.5),0)</f>
        <v>3460</v>
      </c>
      <c r="I68" s="529"/>
      <c r="J68" s="1"/>
      <c r="K68" s="1"/>
      <c r="L68" s="1"/>
      <c r="M68" s="1"/>
      <c r="N68" s="1"/>
      <c r="O68" s="1"/>
      <c r="P68" s="1"/>
    </row>
    <row r="69" spans="1:16" customFormat="1" ht="27.75" customHeight="1">
      <c r="A69" s="612"/>
      <c r="B69" s="123" t="s">
        <v>561</v>
      </c>
      <c r="C69" s="125" t="s">
        <v>44</v>
      </c>
      <c r="D69" s="125">
        <v>38.89</v>
      </c>
      <c r="E69" s="126">
        <v>40</v>
      </c>
      <c r="F69" s="384">
        <f t="shared" si="0"/>
        <v>5562</v>
      </c>
      <c r="G69" s="550">
        <v>5562</v>
      </c>
      <c r="H69" s="209">
        <f>ROUND(((F69+P46+($P$47*M46))/2.5),0)</f>
        <v>3594</v>
      </c>
      <c r="I69" s="529"/>
      <c r="J69" s="1"/>
      <c r="K69" s="1"/>
      <c r="L69" s="1"/>
      <c r="M69" s="1"/>
      <c r="N69" s="1"/>
      <c r="O69" s="1"/>
      <c r="P69" s="1"/>
    </row>
    <row r="70" spans="1:16" customFormat="1" ht="27.75" customHeight="1">
      <c r="A70" s="613"/>
      <c r="B70" s="123" t="s">
        <v>562</v>
      </c>
      <c r="C70" s="123" t="s">
        <v>44</v>
      </c>
      <c r="D70" s="123">
        <v>41.24</v>
      </c>
      <c r="E70" s="126">
        <v>40</v>
      </c>
      <c r="F70" s="498">
        <f t="shared" si="0"/>
        <v>5898</v>
      </c>
      <c r="G70" s="552">
        <v>5898</v>
      </c>
      <c r="H70" s="210">
        <f>ROUND(((F70+P46+($P$47*M46))/2.5),0)</f>
        <v>3728</v>
      </c>
      <c r="I70" s="529"/>
      <c r="J70" s="1"/>
      <c r="K70" s="1"/>
      <c r="L70" s="1"/>
      <c r="M70" s="1"/>
      <c r="N70" s="1"/>
      <c r="O70" s="1"/>
      <c r="P70" s="1"/>
    </row>
    <row r="71" spans="1:16" customFormat="1" ht="27.75" customHeight="1">
      <c r="A71" s="611" t="s">
        <v>540</v>
      </c>
      <c r="B71" s="381" t="s">
        <v>461</v>
      </c>
      <c r="C71" s="382" t="s">
        <v>44</v>
      </c>
      <c r="D71" s="382">
        <v>22.34</v>
      </c>
      <c r="E71" s="383">
        <v>20</v>
      </c>
      <c r="F71" s="494">
        <f t="shared" si="0"/>
        <v>3478</v>
      </c>
      <c r="G71" s="553">
        <v>3478</v>
      </c>
      <c r="H71" s="475">
        <f t="shared" ref="H71:H78" si="4">ROUND(((F71+P19+($P$47*M19))/2.5),0)</f>
        <v>1625</v>
      </c>
      <c r="I71" s="529"/>
      <c r="J71" s="1"/>
      <c r="K71" s="1"/>
      <c r="L71" s="1"/>
      <c r="M71" s="1"/>
      <c r="N71" s="1"/>
      <c r="O71" s="1"/>
      <c r="P71" s="1"/>
    </row>
    <row r="72" spans="1:16" customFormat="1" ht="27.75" customHeight="1">
      <c r="A72" s="612"/>
      <c r="B72" s="479" t="s">
        <v>17</v>
      </c>
      <c r="C72" s="479" t="s">
        <v>44</v>
      </c>
      <c r="D72" s="479">
        <v>26.36</v>
      </c>
      <c r="E72" s="480">
        <v>20</v>
      </c>
      <c r="F72" s="494">
        <f t="shared" si="0"/>
        <v>4103</v>
      </c>
      <c r="G72" s="553">
        <v>4103</v>
      </c>
      <c r="H72" s="475">
        <f t="shared" si="4"/>
        <v>1901</v>
      </c>
      <c r="I72" s="529"/>
      <c r="J72" s="1"/>
      <c r="K72" s="1"/>
      <c r="L72" s="1"/>
      <c r="M72" s="1"/>
      <c r="N72" s="1"/>
      <c r="O72" s="1"/>
      <c r="P72" s="1"/>
    </row>
    <row r="73" spans="1:16" customFormat="1" ht="27.75" customHeight="1">
      <c r="A73" s="612"/>
      <c r="B73" s="479" t="s">
        <v>18</v>
      </c>
      <c r="C73" s="479" t="s">
        <v>44</v>
      </c>
      <c r="D73" s="479">
        <v>30.37</v>
      </c>
      <c r="E73" s="480">
        <v>20</v>
      </c>
      <c r="F73" s="494">
        <f t="shared" si="0"/>
        <v>4220</v>
      </c>
      <c r="G73" s="553">
        <v>4220</v>
      </c>
      <c r="H73" s="475">
        <f t="shared" si="4"/>
        <v>1963</v>
      </c>
      <c r="I73" s="529"/>
      <c r="J73" s="1"/>
      <c r="K73" s="1"/>
      <c r="L73" s="1"/>
      <c r="M73" s="1"/>
      <c r="N73" s="1"/>
      <c r="O73" s="1"/>
      <c r="P73" s="1"/>
    </row>
    <row r="74" spans="1:16" customFormat="1" ht="27.75" customHeight="1">
      <c r="A74" s="612"/>
      <c r="B74" s="479" t="s">
        <v>528</v>
      </c>
      <c r="C74" s="479" t="s">
        <v>44</v>
      </c>
      <c r="D74" s="479">
        <v>34.380000000000003</v>
      </c>
      <c r="E74" s="480">
        <v>20</v>
      </c>
      <c r="F74" s="494">
        <f t="shared" si="0"/>
        <v>4778</v>
      </c>
      <c r="G74" s="553">
        <v>4778</v>
      </c>
      <c r="H74" s="475">
        <f t="shared" si="4"/>
        <v>2219</v>
      </c>
      <c r="I74" s="529"/>
      <c r="J74" s="1"/>
      <c r="K74" s="1"/>
      <c r="L74" s="1"/>
      <c r="M74" s="1"/>
      <c r="N74" s="1"/>
      <c r="O74" s="1"/>
      <c r="P74" s="1"/>
    </row>
    <row r="75" spans="1:16" customFormat="1" ht="27.75" customHeight="1">
      <c r="A75" s="612"/>
      <c r="B75" s="479" t="s">
        <v>529</v>
      </c>
      <c r="C75" s="479" t="s">
        <v>44</v>
      </c>
      <c r="D75" s="479">
        <v>38.4</v>
      </c>
      <c r="E75" s="480">
        <v>20</v>
      </c>
      <c r="F75" s="494">
        <f t="shared" si="0"/>
        <v>5335</v>
      </c>
      <c r="G75" s="553">
        <v>5335</v>
      </c>
      <c r="H75" s="475">
        <f t="shared" si="4"/>
        <v>2466</v>
      </c>
      <c r="I75" s="529"/>
      <c r="J75" s="1"/>
      <c r="K75" s="1"/>
      <c r="L75" s="1"/>
      <c r="M75" s="1"/>
      <c r="N75" s="1"/>
      <c r="O75" s="1"/>
      <c r="P75" s="1"/>
    </row>
    <row r="76" spans="1:16" customFormat="1" ht="27.75" customHeight="1">
      <c r="A76" s="612"/>
      <c r="B76" s="374" t="s">
        <v>446</v>
      </c>
      <c r="C76" s="385" t="s">
        <v>44</v>
      </c>
      <c r="D76" s="385">
        <v>42.41</v>
      </c>
      <c r="E76" s="386">
        <v>20</v>
      </c>
      <c r="F76" s="494">
        <f t="shared" si="0"/>
        <v>5894</v>
      </c>
      <c r="G76" s="553">
        <v>5894</v>
      </c>
      <c r="H76" s="475">
        <f t="shared" si="4"/>
        <v>2713</v>
      </c>
      <c r="I76" s="529"/>
      <c r="J76" s="1"/>
      <c r="K76" s="1"/>
      <c r="L76" s="1"/>
      <c r="M76" s="1"/>
      <c r="N76" s="1"/>
      <c r="O76" s="1"/>
      <c r="P76" s="1"/>
    </row>
    <row r="77" spans="1:16" customFormat="1" ht="27.75" customHeight="1">
      <c r="A77" s="612"/>
      <c r="B77" s="478" t="s">
        <v>22</v>
      </c>
      <c r="C77" s="479" t="s">
        <v>44</v>
      </c>
      <c r="D77" s="479">
        <v>46.42</v>
      </c>
      <c r="E77" s="480">
        <v>20</v>
      </c>
      <c r="F77" s="494">
        <f t="shared" si="0"/>
        <v>6450</v>
      </c>
      <c r="G77" s="553">
        <v>6450</v>
      </c>
      <c r="H77" s="475">
        <f t="shared" si="4"/>
        <v>2958</v>
      </c>
      <c r="I77" s="529"/>
      <c r="J77" s="1"/>
      <c r="K77" s="1"/>
      <c r="L77" s="1"/>
      <c r="M77" s="1"/>
      <c r="N77" s="1"/>
      <c r="O77" s="1"/>
      <c r="P77" s="1"/>
    </row>
    <row r="78" spans="1:16" customFormat="1" ht="27.75" customHeight="1">
      <c r="A78" s="612"/>
      <c r="B78" s="478" t="s">
        <v>462</v>
      </c>
      <c r="C78" s="479" t="s">
        <v>44</v>
      </c>
      <c r="D78" s="479">
        <v>50.43</v>
      </c>
      <c r="E78" s="480">
        <v>20</v>
      </c>
      <c r="F78" s="494">
        <f t="shared" si="0"/>
        <v>7007</v>
      </c>
      <c r="G78" s="553">
        <v>7007</v>
      </c>
      <c r="H78" s="475">
        <f t="shared" si="4"/>
        <v>3238</v>
      </c>
      <c r="I78" s="529"/>
      <c r="J78" s="1"/>
      <c r="K78" s="1"/>
      <c r="L78" s="1"/>
      <c r="M78" s="1"/>
      <c r="N78" s="1"/>
      <c r="O78" s="1"/>
      <c r="P78" s="1"/>
    </row>
    <row r="79" spans="1:16" customFormat="1" ht="27.75" customHeight="1">
      <c r="A79" s="612"/>
      <c r="B79" s="478" t="s">
        <v>533</v>
      </c>
      <c r="C79" s="479" t="s">
        <v>44</v>
      </c>
      <c r="D79" s="479">
        <v>52.3</v>
      </c>
      <c r="E79" s="480">
        <v>20</v>
      </c>
      <c r="F79" s="494">
        <f t="shared" si="0"/>
        <v>7267</v>
      </c>
      <c r="G79" s="553">
        <v>7267</v>
      </c>
      <c r="H79" s="475">
        <f>ROUND(((F79+P29+($P$47*M29))/2.5),0)</f>
        <v>3926</v>
      </c>
      <c r="I79" s="529"/>
      <c r="J79" s="1"/>
      <c r="K79" s="1"/>
      <c r="L79" s="1"/>
      <c r="M79" s="1"/>
      <c r="N79" s="1"/>
      <c r="O79" s="1"/>
      <c r="P79" s="1"/>
    </row>
    <row r="80" spans="1:16" customFormat="1" ht="27.75" customHeight="1">
      <c r="A80" s="612"/>
      <c r="B80" s="478" t="s">
        <v>534</v>
      </c>
      <c r="C80" s="479" t="s">
        <v>44</v>
      </c>
      <c r="D80" s="479">
        <v>56.15</v>
      </c>
      <c r="E80" s="480">
        <v>20</v>
      </c>
      <c r="F80" s="494">
        <f t="shared" ref="F80:F96" si="5">ROUND(G80*(1-$B$113),2)</f>
        <v>7801</v>
      </c>
      <c r="G80" s="553">
        <v>7801</v>
      </c>
      <c r="H80" s="475">
        <f>ROUND(((F80+P29+($P$47*M29))/2.5),0)</f>
        <v>4140</v>
      </c>
      <c r="I80" s="529"/>
      <c r="J80" s="1"/>
      <c r="K80" s="1"/>
      <c r="L80" s="1"/>
      <c r="M80" s="1"/>
      <c r="N80" s="1"/>
      <c r="O80" s="1"/>
      <c r="P80" s="1"/>
    </row>
    <row r="81" spans="1:16" customFormat="1" ht="27.75" customHeight="1">
      <c r="A81" s="612"/>
      <c r="B81" s="374" t="s">
        <v>535</v>
      </c>
      <c r="C81" s="479" t="s">
        <v>44</v>
      </c>
      <c r="D81" s="385">
        <v>60.01</v>
      </c>
      <c r="E81" s="386">
        <v>20</v>
      </c>
      <c r="F81" s="494">
        <f t="shared" si="5"/>
        <v>8670</v>
      </c>
      <c r="G81" s="553">
        <v>8670</v>
      </c>
      <c r="H81" s="475">
        <f>ROUND(((F81+P29+($P$47*M29))/2.5),0)</f>
        <v>4487</v>
      </c>
      <c r="I81" s="529"/>
      <c r="J81" s="1"/>
      <c r="K81" s="1"/>
      <c r="L81" s="1"/>
      <c r="M81" s="1"/>
      <c r="N81" s="1"/>
      <c r="O81" s="1"/>
      <c r="P81" s="1"/>
    </row>
    <row r="82" spans="1:16" customFormat="1" ht="27.75" customHeight="1">
      <c r="A82" s="612"/>
      <c r="B82" s="478" t="s">
        <v>561</v>
      </c>
      <c r="C82" s="479" t="s">
        <v>44</v>
      </c>
      <c r="D82" s="479">
        <v>63.86</v>
      </c>
      <c r="E82" s="480">
        <v>20</v>
      </c>
      <c r="F82" s="494">
        <f t="shared" si="5"/>
        <v>9227</v>
      </c>
      <c r="G82" s="553">
        <v>9227</v>
      </c>
      <c r="H82" s="475">
        <f>ROUND(((F82+P29+($P$47*M29))/2.5),0)</f>
        <v>4710</v>
      </c>
      <c r="I82" s="529"/>
      <c r="J82" s="1"/>
      <c r="K82" s="1"/>
      <c r="L82" s="1"/>
      <c r="M82" s="1"/>
      <c r="N82" s="1"/>
      <c r="O82" s="1"/>
      <c r="P82" s="1"/>
    </row>
    <row r="83" spans="1:16" customFormat="1" ht="27.75" customHeight="1">
      <c r="A83" s="613"/>
      <c r="B83" s="387" t="s">
        <v>562</v>
      </c>
      <c r="C83" s="388" t="s">
        <v>44</v>
      </c>
      <c r="D83" s="388">
        <v>67.709999999999994</v>
      </c>
      <c r="E83" s="389">
        <v>20</v>
      </c>
      <c r="F83" s="494">
        <f t="shared" si="5"/>
        <v>9786</v>
      </c>
      <c r="G83" s="553">
        <v>9786</v>
      </c>
      <c r="H83" s="475">
        <f>ROUND(((F83+P29+($P$47*M29))/2.5),0)</f>
        <v>4934</v>
      </c>
      <c r="I83" s="529"/>
      <c r="J83" s="1"/>
      <c r="K83" s="1"/>
      <c r="L83" s="1"/>
      <c r="M83" s="1"/>
      <c r="N83" s="1"/>
      <c r="O83" s="1"/>
      <c r="P83" s="1"/>
    </row>
    <row r="84" spans="1:16" customFormat="1" ht="27" customHeight="1">
      <c r="A84" s="661" t="s">
        <v>541</v>
      </c>
      <c r="B84" s="381" t="s">
        <v>461</v>
      </c>
      <c r="C84" s="382" t="s">
        <v>44</v>
      </c>
      <c r="D84" s="382">
        <v>22.58</v>
      </c>
      <c r="E84" s="383">
        <v>20</v>
      </c>
      <c r="F84" s="490">
        <f t="shared" si="5"/>
        <v>3604</v>
      </c>
      <c r="G84" s="554">
        <v>3604</v>
      </c>
      <c r="H84" s="208">
        <f>ROUND(((F84+P32+($P$47*M32))/2.5),0)</f>
        <v>1748</v>
      </c>
      <c r="I84" s="529"/>
      <c r="J84" s="1"/>
      <c r="K84" s="1"/>
      <c r="L84" s="1"/>
      <c r="M84" s="1"/>
      <c r="N84" s="1"/>
      <c r="O84" s="1"/>
      <c r="P84" s="1"/>
    </row>
    <row r="85" spans="1:16" customFormat="1" ht="27" customHeight="1">
      <c r="A85" s="661"/>
      <c r="B85" s="479" t="s">
        <v>17</v>
      </c>
      <c r="C85" s="479" t="s">
        <v>44</v>
      </c>
      <c r="D85" s="479">
        <v>26.63</v>
      </c>
      <c r="E85" s="480">
        <v>20</v>
      </c>
      <c r="F85" s="491">
        <f t="shared" si="5"/>
        <v>4248</v>
      </c>
      <c r="G85" s="555">
        <v>4248</v>
      </c>
      <c r="H85" s="209">
        <f>ROUND(((F85+P20+($P$47*M20))/2.5),0)</f>
        <v>1959</v>
      </c>
      <c r="I85" s="529"/>
      <c r="J85" s="1"/>
      <c r="K85" s="1"/>
      <c r="L85" s="1"/>
      <c r="M85" s="1"/>
      <c r="N85" s="1"/>
      <c r="O85" s="1"/>
      <c r="P85" s="1"/>
    </row>
    <row r="86" spans="1:16" customFormat="1" ht="27" customHeight="1">
      <c r="A86" s="661"/>
      <c r="B86" s="479" t="s">
        <v>18</v>
      </c>
      <c r="C86" s="479" t="s">
        <v>44</v>
      </c>
      <c r="D86" s="479">
        <v>30.68</v>
      </c>
      <c r="E86" s="480">
        <v>20</v>
      </c>
      <c r="F86" s="492">
        <f t="shared" si="5"/>
        <v>4389</v>
      </c>
      <c r="G86" s="555">
        <v>4389</v>
      </c>
      <c r="H86" s="475">
        <f>ROUND(((F86+P34+($P$47*M34))/2.5),0)</f>
        <v>2132</v>
      </c>
      <c r="I86" s="529"/>
      <c r="J86" s="1"/>
      <c r="K86" s="1"/>
      <c r="L86" s="1"/>
      <c r="M86" s="1"/>
      <c r="N86" s="1"/>
      <c r="O86" s="1"/>
      <c r="P86" s="1"/>
    </row>
    <row r="87" spans="1:16" customFormat="1" ht="27" customHeight="1">
      <c r="A87" s="661"/>
      <c r="B87" s="479" t="s">
        <v>528</v>
      </c>
      <c r="C87" s="479" t="s">
        <v>44</v>
      </c>
      <c r="D87" s="479">
        <v>34.74</v>
      </c>
      <c r="E87" s="480">
        <v>20</v>
      </c>
      <c r="F87" s="491">
        <f t="shared" si="5"/>
        <v>4970</v>
      </c>
      <c r="G87" s="555">
        <v>4970</v>
      </c>
      <c r="H87" s="475">
        <f>ROUND(((F87+P35+($P$47*M35))/2.5),0)</f>
        <v>2392</v>
      </c>
      <c r="I87" s="529"/>
      <c r="J87" s="1"/>
      <c r="K87" s="1"/>
      <c r="L87" s="1"/>
      <c r="M87" s="1"/>
      <c r="N87" s="1"/>
      <c r="O87" s="1"/>
      <c r="P87" s="1"/>
    </row>
    <row r="88" spans="1:16" customFormat="1" ht="27" customHeight="1">
      <c r="A88" s="661"/>
      <c r="B88" s="479" t="s">
        <v>529</v>
      </c>
      <c r="C88" s="479" t="s">
        <v>44</v>
      </c>
      <c r="D88" s="479">
        <v>38.79</v>
      </c>
      <c r="E88" s="480">
        <v>20</v>
      </c>
      <c r="F88" s="491">
        <f t="shared" si="5"/>
        <v>5548</v>
      </c>
      <c r="G88" s="555">
        <v>5548</v>
      </c>
      <c r="H88" s="209">
        <f>ROUND(((F88+P36+($P$47*M36))/2.5),0)</f>
        <v>2658</v>
      </c>
      <c r="I88" s="529"/>
      <c r="J88" s="1"/>
      <c r="K88" s="1"/>
      <c r="L88" s="1"/>
      <c r="M88" s="1"/>
      <c r="N88" s="1"/>
      <c r="O88" s="1"/>
      <c r="P88" s="1"/>
    </row>
    <row r="89" spans="1:16" customFormat="1" ht="27" customHeight="1">
      <c r="A89" s="661"/>
      <c r="B89" s="374" t="s">
        <v>446</v>
      </c>
      <c r="C89" s="385" t="s">
        <v>44</v>
      </c>
      <c r="D89" s="385">
        <v>42.85</v>
      </c>
      <c r="E89" s="386">
        <v>20</v>
      </c>
      <c r="F89" s="384">
        <f t="shared" si="5"/>
        <v>6129</v>
      </c>
      <c r="G89" s="553">
        <v>6129</v>
      </c>
      <c r="H89" s="475">
        <f>ROUND(((F89+P25+($P$47*M25))/2.5),0)</f>
        <v>2829</v>
      </c>
      <c r="I89" s="529"/>
      <c r="J89" s="1"/>
      <c r="K89" s="1"/>
      <c r="L89" s="1"/>
      <c r="M89" s="1"/>
      <c r="N89" s="1"/>
      <c r="O89" s="1"/>
      <c r="P89" s="1"/>
    </row>
    <row r="90" spans="1:16" customFormat="1" ht="27" customHeight="1">
      <c r="A90" s="661"/>
      <c r="B90" s="478" t="s">
        <v>22</v>
      </c>
      <c r="C90" s="479" t="s">
        <v>44</v>
      </c>
      <c r="D90" s="479">
        <v>46.9</v>
      </c>
      <c r="E90" s="480">
        <v>20</v>
      </c>
      <c r="F90" s="384">
        <f t="shared" si="5"/>
        <v>6708</v>
      </c>
      <c r="G90" s="550">
        <v>6708</v>
      </c>
      <c r="H90" s="209">
        <f>ROUND(((F90+P39+($P$47*M39))/2.5),0)</f>
        <v>3263</v>
      </c>
      <c r="I90" s="529"/>
      <c r="J90" s="1"/>
      <c r="K90" s="1"/>
      <c r="L90" s="1"/>
      <c r="M90" s="1"/>
      <c r="N90" s="1"/>
      <c r="O90" s="1"/>
      <c r="P90" s="1"/>
    </row>
    <row r="91" spans="1:16" customFormat="1" ht="27" customHeight="1">
      <c r="A91" s="661"/>
      <c r="B91" s="478" t="s">
        <v>462</v>
      </c>
      <c r="C91" s="479" t="s">
        <v>44</v>
      </c>
      <c r="D91" s="479">
        <v>50.96</v>
      </c>
      <c r="E91" s="480">
        <v>20</v>
      </c>
      <c r="F91" s="491">
        <f t="shared" si="5"/>
        <v>7289</v>
      </c>
      <c r="G91" s="555">
        <v>7289</v>
      </c>
      <c r="H91" s="475">
        <f>ROUND(((F91+P39+($P$47*M39))/2.5),0)</f>
        <v>3496</v>
      </c>
      <c r="I91" s="529"/>
      <c r="J91" s="1"/>
      <c r="K91" s="1"/>
      <c r="L91" s="1"/>
      <c r="M91" s="1"/>
      <c r="N91" s="1"/>
      <c r="O91" s="1"/>
      <c r="P91" s="1"/>
    </row>
    <row r="92" spans="1:16" customFormat="1" ht="27.75" customHeight="1">
      <c r="A92" s="661"/>
      <c r="B92" s="478" t="s">
        <v>533</v>
      </c>
      <c r="C92" s="479" t="s">
        <v>44</v>
      </c>
      <c r="D92" s="479">
        <v>52.84</v>
      </c>
      <c r="E92" s="480">
        <v>20</v>
      </c>
      <c r="F92" s="491">
        <f t="shared" si="5"/>
        <v>7557</v>
      </c>
      <c r="G92" s="555">
        <v>7557</v>
      </c>
      <c r="H92" s="475">
        <f>ROUND(((F92+P46+($P$47*M46))/2.5),0)</f>
        <v>4392</v>
      </c>
      <c r="I92" s="529"/>
      <c r="J92" s="1"/>
      <c r="K92" s="1"/>
      <c r="L92" s="1"/>
      <c r="M92" s="1"/>
      <c r="N92" s="1"/>
      <c r="O92" s="1"/>
      <c r="P92" s="1"/>
    </row>
    <row r="93" spans="1:16" customFormat="1" ht="27.75" customHeight="1">
      <c r="A93" s="661"/>
      <c r="B93" s="478" t="s">
        <v>531</v>
      </c>
      <c r="C93" s="479" t="s">
        <v>44</v>
      </c>
      <c r="D93" s="479">
        <v>56.73</v>
      </c>
      <c r="E93" s="480">
        <v>20</v>
      </c>
      <c r="F93" s="491">
        <f t="shared" si="5"/>
        <v>8114</v>
      </c>
      <c r="G93" s="555">
        <v>8114</v>
      </c>
      <c r="H93" s="475">
        <f>ROUND(((F93+P46+($P$47*M46))/2.5),0)</f>
        <v>4615</v>
      </c>
      <c r="I93" s="529"/>
      <c r="J93" s="1"/>
      <c r="K93" s="1"/>
      <c r="L93" s="1"/>
      <c r="M93" s="1"/>
      <c r="N93" s="1"/>
      <c r="O93" s="1"/>
      <c r="P93" s="1"/>
    </row>
    <row r="94" spans="1:16" customFormat="1" ht="27.75" customHeight="1">
      <c r="A94" s="661"/>
      <c r="B94" s="374" t="s">
        <v>532</v>
      </c>
      <c r="C94" s="479" t="s">
        <v>44</v>
      </c>
      <c r="D94" s="385">
        <v>60.63</v>
      </c>
      <c r="E94" s="386">
        <v>20</v>
      </c>
      <c r="F94" s="491">
        <f t="shared" si="5"/>
        <v>9005</v>
      </c>
      <c r="G94" s="555">
        <v>9005</v>
      </c>
      <c r="H94" s="475">
        <f>ROUND(((F94+P46+($P$47*M46))/2.5),0)</f>
        <v>4971</v>
      </c>
      <c r="I94" s="529"/>
      <c r="J94" s="1"/>
      <c r="K94" s="1"/>
      <c r="L94" s="1"/>
      <c r="M94" s="1"/>
      <c r="N94" s="1"/>
      <c r="O94" s="1"/>
      <c r="P94" s="1"/>
    </row>
    <row r="95" spans="1:16" customFormat="1" ht="27.75" customHeight="1">
      <c r="A95" s="661"/>
      <c r="B95" s="478" t="s">
        <v>561</v>
      </c>
      <c r="C95" s="479" t="s">
        <v>44</v>
      </c>
      <c r="D95" s="479">
        <v>64.52</v>
      </c>
      <c r="E95" s="480">
        <v>20</v>
      </c>
      <c r="F95" s="491">
        <f t="shared" si="5"/>
        <v>9583</v>
      </c>
      <c r="G95" s="555">
        <v>9583</v>
      </c>
      <c r="H95" s="475">
        <f>ROUND(((F95+P46+($P$47*M46))/2.5),0)</f>
        <v>5202</v>
      </c>
      <c r="I95" s="529"/>
      <c r="J95" s="1"/>
      <c r="K95" s="1"/>
      <c r="L95" s="1"/>
      <c r="M95" s="1"/>
      <c r="N95" s="1"/>
      <c r="O95" s="1"/>
      <c r="P95" s="1"/>
    </row>
    <row r="96" spans="1:16" customFormat="1" ht="27.75" customHeight="1">
      <c r="A96" s="661"/>
      <c r="B96" s="387" t="s">
        <v>562</v>
      </c>
      <c r="C96" s="388" t="s">
        <v>44</v>
      </c>
      <c r="D96" s="388">
        <v>68.42</v>
      </c>
      <c r="E96" s="389">
        <v>20</v>
      </c>
      <c r="F96" s="493">
        <f t="shared" si="5"/>
        <v>10162</v>
      </c>
      <c r="G96" s="556">
        <v>10162</v>
      </c>
      <c r="H96" s="210">
        <f>ROUND(((F96+P46+($P$47*M46))/2.5),0)</f>
        <v>5434</v>
      </c>
      <c r="I96" s="529"/>
      <c r="J96" s="1"/>
      <c r="K96" s="1"/>
      <c r="L96" s="1"/>
      <c r="M96" s="1"/>
      <c r="N96" s="1"/>
      <c r="O96" s="1"/>
      <c r="P96" s="1"/>
    </row>
    <row r="97" spans="1:16" customFormat="1" ht="27.6">
      <c r="A97" s="54"/>
      <c r="B97" s="54"/>
      <c r="C97" s="54"/>
      <c r="D97" s="54"/>
      <c r="E97" s="54"/>
      <c r="F97" s="54"/>
      <c r="G97" s="54"/>
      <c r="H97" s="54"/>
      <c r="J97" s="1"/>
      <c r="K97" s="1"/>
      <c r="L97" s="1"/>
      <c r="M97" s="1"/>
      <c r="N97" s="1"/>
      <c r="O97" s="1"/>
      <c r="P97" s="1"/>
    </row>
    <row r="98" spans="1:16" customFormat="1" ht="28.2">
      <c r="A98" s="134" t="s">
        <v>301</v>
      </c>
      <c r="B98" s="54"/>
      <c r="C98" s="54"/>
      <c r="D98" s="54"/>
      <c r="E98" s="54"/>
      <c r="F98" s="54"/>
      <c r="G98" s="54"/>
      <c r="H98" s="54"/>
      <c r="J98" s="1"/>
      <c r="K98" s="1"/>
      <c r="L98" s="1"/>
      <c r="M98" s="1"/>
      <c r="N98" s="1"/>
      <c r="O98" s="1"/>
      <c r="P98" s="1"/>
    </row>
    <row r="99" spans="1:16" customFormat="1" ht="28.2">
      <c r="A99" s="135" t="s">
        <v>475</v>
      </c>
      <c r="B99" s="54"/>
      <c r="C99" s="54"/>
      <c r="D99" s="54"/>
      <c r="E99" s="54"/>
      <c r="F99" s="54"/>
      <c r="G99" s="54"/>
      <c r="H99" s="54"/>
      <c r="J99" s="1"/>
      <c r="K99" s="1"/>
      <c r="L99" s="1"/>
      <c r="M99" s="1"/>
      <c r="N99" s="1"/>
      <c r="O99" s="1"/>
      <c r="P99" s="1"/>
    </row>
    <row r="100" spans="1:16" customFormat="1" ht="28.2">
      <c r="A100" s="135" t="s">
        <v>476</v>
      </c>
      <c r="B100" s="136"/>
      <c r="C100" s="136"/>
      <c r="D100" s="136"/>
      <c r="E100" s="136"/>
      <c r="F100" s="136"/>
      <c r="G100" s="136"/>
      <c r="H100" s="136"/>
      <c r="J100" s="1"/>
      <c r="K100" s="1"/>
      <c r="L100" s="1"/>
      <c r="M100" s="1"/>
      <c r="N100" s="1"/>
      <c r="O100" s="1"/>
      <c r="P100" s="1"/>
    </row>
    <row r="101" spans="1:16" ht="28.2">
      <c r="B101" s="136"/>
      <c r="C101" s="136"/>
      <c r="D101" s="136"/>
      <c r="E101" s="136"/>
      <c r="F101" s="136"/>
      <c r="G101" s="136"/>
      <c r="H101" s="136"/>
    </row>
    <row r="102" spans="1:16" ht="28.2">
      <c r="A102" s="135" t="s">
        <v>139</v>
      </c>
      <c r="B102" s="136"/>
      <c r="C102" s="136"/>
      <c r="D102" s="136"/>
      <c r="E102" s="136"/>
      <c r="F102" s="136"/>
      <c r="G102" s="136"/>
      <c r="H102" s="136"/>
    </row>
    <row r="103" spans="1:16" ht="28.2">
      <c r="A103" s="135" t="s">
        <v>140</v>
      </c>
      <c r="B103" s="136"/>
      <c r="C103" s="136"/>
      <c r="D103" s="136"/>
      <c r="E103" s="136"/>
      <c r="F103" s="136"/>
      <c r="G103" s="136"/>
      <c r="H103" s="136"/>
    </row>
    <row r="104" spans="1:16" ht="28.2">
      <c r="A104" s="135" t="s">
        <v>80</v>
      </c>
      <c r="B104" s="136"/>
      <c r="C104" s="136"/>
      <c r="D104" s="136"/>
      <c r="E104" s="136"/>
      <c r="F104" s="136"/>
      <c r="G104" s="136"/>
      <c r="H104" s="136"/>
    </row>
    <row r="105" spans="1:16" ht="28.2">
      <c r="A105" s="138" t="s">
        <v>12</v>
      </c>
      <c r="B105" s="137"/>
      <c r="C105" s="137"/>
      <c r="D105" s="137"/>
      <c r="E105" s="137"/>
      <c r="F105" s="137"/>
      <c r="G105" s="137"/>
      <c r="H105" s="137"/>
    </row>
    <row r="106" spans="1:16" ht="28.2">
      <c r="A106" s="135" t="s">
        <v>580</v>
      </c>
      <c r="B106" s="54"/>
      <c r="C106" s="54"/>
      <c r="D106" s="54"/>
      <c r="E106" s="54"/>
      <c r="F106" s="54"/>
      <c r="G106" s="54"/>
      <c r="H106" s="54"/>
    </row>
    <row r="107" spans="1:16" ht="27.6">
      <c r="B107" s="54"/>
      <c r="C107" s="54"/>
      <c r="D107" s="54"/>
      <c r="E107" s="54"/>
      <c r="F107" s="54"/>
      <c r="G107" s="54"/>
      <c r="H107" s="54"/>
    </row>
    <row r="108" spans="1:16" ht="27.6">
      <c r="A108" s="144"/>
      <c r="B108" s="144"/>
      <c r="C108" s="144"/>
      <c r="D108" s="144"/>
      <c r="E108" s="144"/>
      <c r="F108" s="144"/>
      <c r="G108" s="144"/>
      <c r="H108" s="54"/>
    </row>
    <row r="109" spans="1:16" ht="27.6">
      <c r="A109" s="54"/>
      <c r="B109" s="54"/>
      <c r="C109" s="54"/>
      <c r="D109" s="54"/>
      <c r="E109" s="54"/>
      <c r="F109" s="54"/>
      <c r="G109" s="54"/>
      <c r="H109" s="54"/>
    </row>
    <row r="110" spans="1:16" ht="28.2">
      <c r="B110" s="136"/>
      <c r="C110" s="136"/>
      <c r="D110" s="136"/>
      <c r="E110" s="136"/>
      <c r="F110" s="136"/>
      <c r="G110" s="136"/>
      <c r="H110" s="136"/>
    </row>
    <row r="111" spans="1:16" ht="20.399999999999999">
      <c r="A111" s="11"/>
      <c r="B111" s="11"/>
      <c r="C111" s="11"/>
      <c r="D111" s="11"/>
      <c r="E111" s="11"/>
      <c r="F111" s="11"/>
      <c r="G111" s="11"/>
      <c r="H111" s="11"/>
    </row>
    <row r="112" spans="1:16" ht="20.399999999999999">
      <c r="A112" s="11"/>
      <c r="B112" s="11"/>
      <c r="C112" s="11"/>
      <c r="D112" s="11"/>
      <c r="E112" s="11"/>
      <c r="F112" s="11"/>
      <c r="G112" s="11"/>
      <c r="H112" s="11"/>
    </row>
    <row r="113" spans="1:8" ht="106.5" customHeight="1">
      <c r="A113" s="593" t="s">
        <v>542</v>
      </c>
      <c r="B113" s="627">
        <v>0</v>
      </c>
      <c r="C113" s="628"/>
      <c r="D113" s="629"/>
      <c r="E113" s="11"/>
      <c r="F113" s="11"/>
      <c r="G113" s="11"/>
      <c r="H113" s="11"/>
    </row>
    <row r="114" spans="1:8" ht="20.399999999999999">
      <c r="A114" s="33"/>
      <c r="B114" s="33"/>
      <c r="C114" s="33"/>
      <c r="D114" s="33"/>
      <c r="E114" s="33"/>
      <c r="F114" s="33"/>
      <c r="G114" s="33"/>
      <c r="H114" s="33"/>
    </row>
    <row r="115" spans="1:8" ht="20.399999999999999">
      <c r="A115" s="33"/>
      <c r="B115" s="33"/>
      <c r="C115" s="33"/>
      <c r="D115" s="33"/>
      <c r="E115" s="33"/>
      <c r="F115" s="33"/>
      <c r="G115" s="33"/>
      <c r="H115" s="33"/>
    </row>
    <row r="116" spans="1:8" ht="20.399999999999999">
      <c r="A116" s="33"/>
      <c r="B116" s="33"/>
      <c r="C116" s="33"/>
      <c r="D116" s="33"/>
      <c r="E116" s="33"/>
      <c r="F116" s="33"/>
      <c r="G116" s="33"/>
      <c r="H116" s="33"/>
    </row>
    <row r="117" spans="1:8" ht="20.399999999999999">
      <c r="A117" s="33"/>
      <c r="B117" s="33"/>
      <c r="C117" s="33"/>
      <c r="D117" s="33"/>
      <c r="E117" s="33"/>
      <c r="F117" s="33"/>
      <c r="G117" s="33"/>
      <c r="H117" s="33"/>
    </row>
    <row r="118" spans="1:8" ht="20.399999999999999">
      <c r="A118" s="37"/>
      <c r="B118" s="37"/>
      <c r="C118" s="37"/>
      <c r="D118" s="37"/>
      <c r="E118" s="37"/>
      <c r="F118" s="37"/>
      <c r="G118" s="37"/>
      <c r="H118" s="37"/>
    </row>
    <row r="119" spans="1:8" ht="15">
      <c r="A119" s="5"/>
      <c r="B119" s="4"/>
      <c r="C119" s="4"/>
      <c r="D119" s="4"/>
      <c r="E119" s="4"/>
      <c r="F119" s="4"/>
      <c r="G119" s="4"/>
      <c r="H119" s="4"/>
    </row>
    <row r="120" spans="1:8" ht="15">
      <c r="A120" s="5"/>
      <c r="B120" s="4"/>
      <c r="C120" s="4"/>
      <c r="D120" s="4"/>
      <c r="E120" s="4"/>
      <c r="F120" s="4"/>
      <c r="G120" s="4"/>
      <c r="H120" s="4"/>
    </row>
    <row r="121" spans="1:8" ht="15">
      <c r="A121" s="7"/>
      <c r="B121" s="3"/>
      <c r="C121" s="3"/>
      <c r="D121" s="3"/>
      <c r="E121" s="3"/>
      <c r="F121" s="3"/>
      <c r="G121" s="3"/>
      <c r="H121" s="3"/>
    </row>
    <row r="122" spans="1:8" ht="15">
      <c r="A122" s="7"/>
      <c r="B122" s="3"/>
      <c r="C122" s="3"/>
      <c r="D122" s="3"/>
      <c r="E122" s="3"/>
      <c r="F122" s="3"/>
      <c r="G122" s="3"/>
      <c r="H122" s="3"/>
    </row>
    <row r="123" spans="1:8">
      <c r="A123" s="2"/>
    </row>
    <row r="124" spans="1:8">
      <c r="A124" s="2"/>
    </row>
    <row r="125" spans="1:8">
      <c r="A125" s="2"/>
    </row>
    <row r="126" spans="1:8">
      <c r="A126" s="2"/>
    </row>
    <row r="127" spans="1:8">
      <c r="A127" s="2"/>
    </row>
    <row r="128" spans="1:8">
      <c r="A128" s="2"/>
    </row>
    <row r="129" spans="1:1">
      <c r="A129" s="2"/>
    </row>
  </sheetData>
  <sheetProtection formatCells="0" formatColumns="0" formatRows="0" insertColumns="0" insertRows="0" insertHyperlinks="0" deleteColumns="0" deleteRows="0" sort="0" autoFilter="0" pivotTables="0"/>
  <mergeCells count="40">
    <mergeCell ref="P47:P52"/>
    <mergeCell ref="P53:P54"/>
    <mergeCell ref="J14:J29"/>
    <mergeCell ref="K28:K29"/>
    <mergeCell ref="J53:L54"/>
    <mergeCell ref="M47:M52"/>
    <mergeCell ref="M53:M54"/>
    <mergeCell ref="N47:N52"/>
    <mergeCell ref="O47:O52"/>
    <mergeCell ref="J47:L52"/>
    <mergeCell ref="O41:O42"/>
    <mergeCell ref="J30:J46"/>
    <mergeCell ref="K45:K46"/>
    <mergeCell ref="K43:K44"/>
    <mergeCell ref="K30:K40"/>
    <mergeCell ref="O14:O27"/>
    <mergeCell ref="A1:H10"/>
    <mergeCell ref="A11:H11"/>
    <mergeCell ref="A13:A14"/>
    <mergeCell ref="B13:B14"/>
    <mergeCell ref="C13:C14"/>
    <mergeCell ref="D13:D14"/>
    <mergeCell ref="E13:E14"/>
    <mergeCell ref="F13:F14"/>
    <mergeCell ref="A84:A96"/>
    <mergeCell ref="B113:D113"/>
    <mergeCell ref="A58:A70"/>
    <mergeCell ref="A71:A83"/>
    <mergeCell ref="A45:A57"/>
    <mergeCell ref="J13:K13"/>
    <mergeCell ref="K14:K27"/>
    <mergeCell ref="K41:K42"/>
    <mergeCell ref="A15:A29"/>
    <mergeCell ref="A30:A44"/>
    <mergeCell ref="O28:O29"/>
    <mergeCell ref="O45:O46"/>
    <mergeCell ref="N53:N54"/>
    <mergeCell ref="O53:O54"/>
    <mergeCell ref="O30:O40"/>
    <mergeCell ref="O43:O44"/>
  </mergeCells>
  <printOptions horizontalCentered="1"/>
  <pageMargins left="0" right="0" top="0" bottom="0" header="0" footer="0"/>
  <pageSetup paperSize="9" scale="27" orientation="portrait" r:id="rId1"/>
  <headerFooter alignWithMargins="0">
    <oddFooter>&amp;R&amp;26Стр. &amp;P из  &amp;N
&amp;A</oddFooter>
  </headerFooter>
  <ignoredErrors>
    <ignoredError sqref="H85 H51 H25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13"/>
  <sheetViews>
    <sheetView showGridLines="0" topLeftCell="A88" zoomScale="40" zoomScaleNormal="40" zoomScaleSheetLayoutView="10" workbookViewId="0">
      <selection activeCell="F115" sqref="F115"/>
    </sheetView>
  </sheetViews>
  <sheetFormatPr defaultColWidth="9.109375" defaultRowHeight="22.8"/>
  <cols>
    <col min="1" max="1" width="38.109375" style="1" customWidth="1"/>
    <col min="2" max="2" width="61.44140625" style="1" customWidth="1"/>
    <col min="3" max="3" width="35.5546875" style="1" customWidth="1"/>
    <col min="4" max="4" width="31.88671875" style="1" customWidth="1"/>
    <col min="5" max="5" width="38.5546875" style="1" customWidth="1"/>
    <col min="6" max="6" width="30.88671875" style="1" customWidth="1"/>
    <col min="7" max="7" width="36.44140625" style="1" customWidth="1"/>
    <col min="8" max="8" width="32.33203125" style="1" customWidth="1"/>
    <col min="9" max="9" width="11.5546875" style="520" hidden="1" customWidth="1"/>
    <col min="10" max="10" width="9.5546875" style="1" customWidth="1"/>
    <col min="11" max="11" width="4.33203125" style="1" customWidth="1"/>
    <col min="12" max="17" width="9.109375" style="1"/>
    <col min="18" max="18" width="13.5546875" style="1" customWidth="1"/>
    <col min="19" max="16384" width="9.109375" style="1"/>
  </cols>
  <sheetData>
    <row r="1" spans="1:18">
      <c r="A1" s="614"/>
      <c r="B1" s="614"/>
      <c r="C1" s="614"/>
      <c r="D1" s="614"/>
      <c r="E1" s="614"/>
      <c r="F1" s="614"/>
      <c r="G1" s="614"/>
      <c r="H1" s="614"/>
    </row>
    <row r="2" spans="1:18">
      <c r="A2" s="614"/>
      <c r="B2" s="614"/>
      <c r="C2" s="614"/>
      <c r="D2" s="614"/>
      <c r="E2" s="614"/>
      <c r="F2" s="614"/>
      <c r="G2" s="614"/>
      <c r="H2" s="614"/>
    </row>
    <row r="3" spans="1:18">
      <c r="A3" s="614"/>
      <c r="B3" s="614"/>
      <c r="C3" s="614"/>
      <c r="D3" s="614"/>
      <c r="E3" s="614"/>
      <c r="F3" s="614"/>
      <c r="G3" s="614"/>
      <c r="H3" s="614"/>
    </row>
    <row r="4" spans="1:18">
      <c r="A4" s="614"/>
      <c r="B4" s="614"/>
      <c r="C4" s="614"/>
      <c r="D4" s="614"/>
      <c r="E4" s="614"/>
      <c r="F4" s="614"/>
      <c r="G4" s="614"/>
      <c r="H4" s="614"/>
    </row>
    <row r="5" spans="1:18">
      <c r="A5" s="614"/>
      <c r="B5" s="614"/>
      <c r="C5" s="614"/>
      <c r="D5" s="614"/>
      <c r="E5" s="614"/>
      <c r="F5" s="614"/>
      <c r="G5" s="614"/>
      <c r="H5" s="614"/>
    </row>
    <row r="6" spans="1:18">
      <c r="A6" s="614"/>
      <c r="B6" s="614"/>
      <c r="C6" s="614"/>
      <c r="D6" s="614"/>
      <c r="E6" s="614"/>
      <c r="F6" s="614"/>
      <c r="G6" s="614"/>
      <c r="H6" s="614"/>
    </row>
    <row r="7" spans="1:18">
      <c r="A7" s="614"/>
      <c r="B7" s="614"/>
      <c r="C7" s="614"/>
      <c r="D7" s="614"/>
      <c r="E7" s="614"/>
      <c r="F7" s="614"/>
      <c r="G7" s="614"/>
      <c r="H7" s="614"/>
    </row>
    <row r="8" spans="1:18" ht="12" customHeight="1" thickBot="1">
      <c r="A8" s="615"/>
      <c r="B8" s="615"/>
      <c r="C8" s="615"/>
      <c r="D8" s="615"/>
      <c r="E8" s="615"/>
      <c r="F8" s="615"/>
      <c r="G8" s="615"/>
      <c r="H8" s="615"/>
    </row>
    <row r="9" spans="1:18" ht="21" customHeight="1">
      <c r="A9" s="675" t="s">
        <v>425</v>
      </c>
      <c r="B9" s="675"/>
      <c r="C9" s="675"/>
      <c r="D9" s="675"/>
      <c r="E9" s="675"/>
      <c r="F9" s="675"/>
      <c r="G9" s="675"/>
      <c r="H9" s="675"/>
      <c r="I9" s="530"/>
      <c r="J9" s="45"/>
      <c r="K9" s="45"/>
      <c r="L9" s="45"/>
      <c r="M9" s="45"/>
      <c r="N9" s="45"/>
      <c r="O9" s="45"/>
      <c r="P9" s="45"/>
      <c r="Q9" s="45"/>
      <c r="R9" s="45"/>
    </row>
    <row r="10" spans="1:18" ht="18.75" customHeight="1">
      <c r="A10" s="11"/>
      <c r="B10" s="11"/>
      <c r="C10" s="11"/>
      <c r="D10" s="11"/>
      <c r="G10" s="197" t="s">
        <v>319</v>
      </c>
      <c r="H10" s="331">
        <v>42464</v>
      </c>
      <c r="J10" s="46"/>
      <c r="K10" s="11"/>
      <c r="L10" s="11"/>
      <c r="M10" s="11"/>
      <c r="N10" s="11"/>
      <c r="O10" s="11"/>
      <c r="P10" s="11"/>
      <c r="Q10" s="11"/>
      <c r="R10" s="11"/>
    </row>
    <row r="11" spans="1:18" ht="39" customHeight="1">
      <c r="A11" s="594" t="s">
        <v>184</v>
      </c>
      <c r="B11" s="684" t="s">
        <v>164</v>
      </c>
      <c r="C11" s="684"/>
      <c r="D11" s="594" t="s">
        <v>203</v>
      </c>
      <c r="E11" s="594" t="s">
        <v>199</v>
      </c>
      <c r="F11" s="594" t="s">
        <v>8</v>
      </c>
      <c r="G11" s="595" t="s">
        <v>200</v>
      </c>
      <c r="H11" s="596" t="s">
        <v>81</v>
      </c>
      <c r="I11" s="534" t="s">
        <v>570</v>
      </c>
      <c r="J11" s="11"/>
      <c r="K11" s="11"/>
      <c r="L11" s="11"/>
      <c r="M11" s="11"/>
      <c r="N11" s="11"/>
      <c r="O11" s="11"/>
      <c r="P11" s="11"/>
      <c r="Q11" s="11"/>
    </row>
    <row r="12" spans="1:18" ht="20.25" customHeight="1">
      <c r="A12" s="636"/>
      <c r="B12" s="680" t="s">
        <v>485</v>
      </c>
      <c r="C12" s="631" t="s">
        <v>504</v>
      </c>
      <c r="D12" s="176">
        <v>1.1000000000000001</v>
      </c>
      <c r="E12" s="12">
        <v>2</v>
      </c>
      <c r="F12" s="199">
        <v>2.94</v>
      </c>
      <c r="G12" s="606">
        <v>96</v>
      </c>
      <c r="H12" s="506">
        <f>ROUND(I12*(1-$B$108),2)</f>
        <v>383</v>
      </c>
      <c r="I12" s="534">
        <v>383</v>
      </c>
      <c r="J12" s="192"/>
      <c r="K12" s="11"/>
      <c r="L12" s="11"/>
      <c r="M12" s="11"/>
      <c r="N12" s="11"/>
      <c r="O12" s="11"/>
      <c r="P12" s="11"/>
      <c r="Q12" s="11"/>
    </row>
    <row r="13" spans="1:18">
      <c r="A13" s="645"/>
      <c r="B13" s="681"/>
      <c r="C13" s="631"/>
      <c r="D13" s="172">
        <v>1.3</v>
      </c>
      <c r="E13" s="13">
        <v>2</v>
      </c>
      <c r="F13" s="200">
        <v>3.48</v>
      </c>
      <c r="G13" s="606"/>
      <c r="H13" s="507">
        <f t="shared" ref="H13:H76" si="0">ROUND(I13*(1-$B$108),2)</f>
        <v>453</v>
      </c>
      <c r="I13" s="534">
        <v>453</v>
      </c>
      <c r="J13" s="192"/>
      <c r="K13" s="11"/>
      <c r="L13" s="11"/>
      <c r="M13" s="11"/>
      <c r="N13" s="11"/>
      <c r="O13" s="11"/>
      <c r="P13" s="11"/>
      <c r="Q13" s="11"/>
    </row>
    <row r="14" spans="1:18">
      <c r="A14" s="645"/>
      <c r="B14" s="681"/>
      <c r="C14" s="631"/>
      <c r="D14" s="172">
        <v>1.5</v>
      </c>
      <c r="E14" s="13">
        <v>2</v>
      </c>
      <c r="F14" s="200">
        <v>4.0199999999999996</v>
      </c>
      <c r="G14" s="606"/>
      <c r="H14" s="507">
        <f t="shared" si="0"/>
        <v>482</v>
      </c>
      <c r="I14" s="534">
        <v>482</v>
      </c>
      <c r="J14" s="192"/>
      <c r="K14" s="11"/>
      <c r="L14" s="11"/>
      <c r="M14" s="11"/>
      <c r="N14" s="11"/>
      <c r="O14" s="11"/>
      <c r="P14" s="11"/>
      <c r="Q14" s="11"/>
    </row>
    <row r="15" spans="1:18">
      <c r="A15" s="645"/>
      <c r="B15" s="681"/>
      <c r="C15" s="631"/>
      <c r="D15" s="172">
        <v>1.7</v>
      </c>
      <c r="E15" s="13">
        <v>2</v>
      </c>
      <c r="F15" s="200">
        <v>4.5599999999999996</v>
      </c>
      <c r="G15" s="606"/>
      <c r="H15" s="507">
        <f t="shared" si="0"/>
        <v>547</v>
      </c>
      <c r="I15" s="534">
        <v>547</v>
      </c>
      <c r="J15" s="192"/>
      <c r="K15" s="11"/>
      <c r="L15" s="11"/>
      <c r="M15" s="11"/>
      <c r="N15" s="11"/>
      <c r="O15" s="11"/>
      <c r="P15" s="11"/>
      <c r="Q15" s="11"/>
    </row>
    <row r="16" spans="1:18">
      <c r="A16" s="645"/>
      <c r="B16" s="681"/>
      <c r="C16" s="631"/>
      <c r="D16" s="172">
        <v>1.9</v>
      </c>
      <c r="E16" s="13">
        <v>2</v>
      </c>
      <c r="F16" s="200">
        <v>5.09</v>
      </c>
      <c r="G16" s="606"/>
      <c r="H16" s="507">
        <f t="shared" si="0"/>
        <v>585</v>
      </c>
      <c r="I16" s="534">
        <v>585</v>
      </c>
      <c r="J16" s="192"/>
      <c r="K16" s="11"/>
      <c r="L16" s="11"/>
      <c r="M16" s="11"/>
      <c r="N16" s="11"/>
      <c r="O16" s="11"/>
      <c r="P16" s="11"/>
      <c r="Q16" s="11"/>
    </row>
    <row r="17" spans="1:17">
      <c r="A17" s="645"/>
      <c r="B17" s="681"/>
      <c r="C17" s="631"/>
      <c r="D17" s="177" t="s">
        <v>311</v>
      </c>
      <c r="E17" s="13">
        <v>3</v>
      </c>
      <c r="F17" s="200">
        <v>5.36</v>
      </c>
      <c r="G17" s="606"/>
      <c r="H17" s="507">
        <f t="shared" si="0"/>
        <v>616</v>
      </c>
      <c r="I17" s="534">
        <v>616</v>
      </c>
      <c r="J17" s="192"/>
      <c r="K17" s="11"/>
      <c r="L17" s="11"/>
      <c r="M17" s="11"/>
      <c r="N17" s="11"/>
      <c r="O17" s="11"/>
      <c r="P17" s="11"/>
      <c r="Q17" s="11"/>
    </row>
    <row r="18" spans="1:17">
      <c r="A18" s="645"/>
      <c r="B18" s="681"/>
      <c r="C18" s="631"/>
      <c r="D18" s="172" t="s">
        <v>156</v>
      </c>
      <c r="E18" s="13">
        <v>3</v>
      </c>
      <c r="F18" s="200">
        <v>5.9</v>
      </c>
      <c r="G18" s="606"/>
      <c r="H18" s="507">
        <f t="shared" si="0"/>
        <v>678</v>
      </c>
      <c r="I18" s="534">
        <v>678</v>
      </c>
      <c r="J18" s="192"/>
      <c r="K18" s="11"/>
      <c r="L18" s="11"/>
      <c r="M18" s="11"/>
      <c r="N18" s="11"/>
      <c r="O18" s="11"/>
      <c r="P18" s="11"/>
      <c r="Q18" s="11"/>
    </row>
    <row r="19" spans="1:17">
      <c r="A19" s="645"/>
      <c r="B19" s="681"/>
      <c r="C19" s="631"/>
      <c r="D19" s="172" t="s">
        <v>157</v>
      </c>
      <c r="E19" s="13">
        <v>3</v>
      </c>
      <c r="F19" s="200">
        <v>6.43</v>
      </c>
      <c r="G19" s="606"/>
      <c r="H19" s="507">
        <f t="shared" si="0"/>
        <v>736</v>
      </c>
      <c r="I19" s="534">
        <v>736</v>
      </c>
      <c r="J19" s="192"/>
      <c r="K19" s="11"/>
      <c r="L19" s="11"/>
      <c r="M19" s="11"/>
      <c r="N19" s="11"/>
      <c r="O19" s="11"/>
      <c r="P19" s="11"/>
      <c r="Q19" s="11"/>
    </row>
    <row r="20" spans="1:17">
      <c r="A20" s="645"/>
      <c r="B20" s="681"/>
      <c r="C20" s="631"/>
      <c r="D20" s="172" t="s">
        <v>32</v>
      </c>
      <c r="E20" s="13">
        <v>4</v>
      </c>
      <c r="F20" s="200">
        <v>6.7</v>
      </c>
      <c r="G20" s="606"/>
      <c r="H20" s="507">
        <f t="shared" si="0"/>
        <v>740</v>
      </c>
      <c r="I20" s="534">
        <v>740</v>
      </c>
      <c r="J20" s="192"/>
      <c r="K20" s="11"/>
      <c r="L20" s="11"/>
      <c r="M20" s="11"/>
      <c r="N20" s="11"/>
      <c r="O20" s="11"/>
      <c r="P20" s="11"/>
      <c r="Q20" s="11"/>
    </row>
    <row r="21" spans="1:17">
      <c r="A21" s="645"/>
      <c r="B21" s="681"/>
      <c r="C21" s="631"/>
      <c r="D21" s="172">
        <v>3</v>
      </c>
      <c r="E21" s="13">
        <v>4</v>
      </c>
      <c r="F21" s="200">
        <v>8.0399999999999991</v>
      </c>
      <c r="G21" s="606"/>
      <c r="H21" s="507">
        <f t="shared" si="0"/>
        <v>885</v>
      </c>
      <c r="I21" s="534">
        <v>885</v>
      </c>
      <c r="J21" s="192"/>
      <c r="K21" s="11"/>
      <c r="L21" s="11"/>
      <c r="M21" s="11"/>
      <c r="N21" s="11"/>
      <c r="O21" s="11"/>
      <c r="P21" s="11"/>
      <c r="Q21" s="11"/>
    </row>
    <row r="22" spans="1:17">
      <c r="A22" s="645"/>
      <c r="B22" s="681"/>
      <c r="C22" s="631"/>
      <c r="D22" s="173">
        <v>4</v>
      </c>
      <c r="E22" s="18">
        <v>6</v>
      </c>
      <c r="F22" s="201">
        <v>10.72</v>
      </c>
      <c r="G22" s="606"/>
      <c r="H22" s="508">
        <f t="shared" si="0"/>
        <v>1180</v>
      </c>
      <c r="I22" s="534">
        <v>1180</v>
      </c>
      <c r="J22" s="192"/>
      <c r="K22" s="11"/>
      <c r="L22" s="11"/>
      <c r="M22" s="11"/>
      <c r="N22" s="11"/>
      <c r="O22" s="11"/>
      <c r="P22" s="11"/>
      <c r="Q22" s="11"/>
    </row>
    <row r="23" spans="1:17">
      <c r="A23" s="645"/>
      <c r="B23" s="681"/>
      <c r="C23" s="673" t="s">
        <v>494</v>
      </c>
      <c r="D23" s="172">
        <v>4</v>
      </c>
      <c r="E23" s="13">
        <v>6</v>
      </c>
      <c r="F23" s="200">
        <v>15.56</v>
      </c>
      <c r="G23" s="607">
        <v>72</v>
      </c>
      <c r="H23" s="509">
        <f t="shared" si="0"/>
        <v>1712</v>
      </c>
      <c r="I23" s="534">
        <v>1712</v>
      </c>
      <c r="J23" s="192"/>
      <c r="K23" s="11"/>
      <c r="L23" s="11"/>
      <c r="M23" s="11"/>
      <c r="N23" s="11"/>
      <c r="O23" s="11"/>
      <c r="P23" s="11"/>
      <c r="Q23" s="11"/>
    </row>
    <row r="24" spans="1:17">
      <c r="A24" s="645"/>
      <c r="B24" s="682"/>
      <c r="C24" s="674"/>
      <c r="D24" s="217">
        <v>5</v>
      </c>
      <c r="E24" s="253">
        <v>8</v>
      </c>
      <c r="F24" s="218">
        <v>19.45</v>
      </c>
      <c r="G24" s="644"/>
      <c r="H24" s="510">
        <f t="shared" si="0"/>
        <v>2140</v>
      </c>
      <c r="I24" s="534">
        <v>2140</v>
      </c>
      <c r="J24" s="192"/>
      <c r="K24" s="11"/>
      <c r="L24" s="11"/>
      <c r="M24" s="11"/>
      <c r="N24" s="11"/>
      <c r="O24" s="11"/>
      <c r="P24" s="11"/>
      <c r="Q24" s="11"/>
    </row>
    <row r="25" spans="1:17">
      <c r="A25" s="645"/>
      <c r="B25" s="680" t="s">
        <v>496</v>
      </c>
      <c r="C25" s="673" t="s">
        <v>563</v>
      </c>
      <c r="D25" s="468">
        <v>2</v>
      </c>
      <c r="E25" s="467">
        <v>3</v>
      </c>
      <c r="F25" s="484">
        <v>4.17</v>
      </c>
      <c r="G25" s="658">
        <v>96</v>
      </c>
      <c r="H25" s="506">
        <f t="shared" si="0"/>
        <v>719</v>
      </c>
      <c r="I25" s="534">
        <v>719</v>
      </c>
      <c r="J25" s="192"/>
      <c r="K25" s="11"/>
      <c r="L25" s="11"/>
      <c r="M25" s="11"/>
      <c r="N25" s="11"/>
      <c r="O25" s="11"/>
      <c r="P25" s="11"/>
      <c r="Q25" s="11"/>
    </row>
    <row r="26" spans="1:17" ht="20.25" customHeight="1">
      <c r="A26" s="645"/>
      <c r="B26" s="681"/>
      <c r="C26" s="679"/>
      <c r="D26" s="443">
        <v>2.5</v>
      </c>
      <c r="E26" s="483">
        <v>4</v>
      </c>
      <c r="F26" s="218">
        <v>5.21</v>
      </c>
      <c r="G26" s="659"/>
      <c r="H26" s="510">
        <f t="shared" si="0"/>
        <v>899</v>
      </c>
      <c r="I26" s="534">
        <v>899</v>
      </c>
      <c r="J26" s="192"/>
      <c r="K26" s="11"/>
      <c r="L26" s="11"/>
      <c r="M26" s="11"/>
      <c r="N26" s="11"/>
      <c r="O26" s="11"/>
      <c r="P26" s="11"/>
      <c r="Q26" s="11"/>
    </row>
    <row r="27" spans="1:17">
      <c r="A27" s="645"/>
      <c r="B27" s="681"/>
      <c r="C27" s="674"/>
      <c r="D27" s="267">
        <v>3</v>
      </c>
      <c r="E27" s="482">
        <v>4</v>
      </c>
      <c r="F27" s="485">
        <v>6.33</v>
      </c>
      <c r="G27" s="660"/>
      <c r="H27" s="508">
        <f t="shared" si="0"/>
        <v>1079</v>
      </c>
      <c r="I27" s="534">
        <v>1079</v>
      </c>
      <c r="J27" s="192"/>
      <c r="K27" s="11"/>
      <c r="L27" s="11"/>
      <c r="M27" s="11"/>
      <c r="N27" s="11"/>
      <c r="O27" s="11"/>
      <c r="P27" s="11"/>
      <c r="Q27" s="11"/>
    </row>
    <row r="28" spans="1:17">
      <c r="A28" s="645"/>
      <c r="B28" s="681"/>
      <c r="C28" s="626" t="s">
        <v>564</v>
      </c>
      <c r="D28" s="174" t="s">
        <v>315</v>
      </c>
      <c r="E28" s="13">
        <v>6</v>
      </c>
      <c r="F28" s="200">
        <v>18.2</v>
      </c>
      <c r="G28" s="644">
        <v>72</v>
      </c>
      <c r="H28" s="507">
        <f t="shared" si="0"/>
        <v>2654</v>
      </c>
      <c r="I28" s="534">
        <v>2654</v>
      </c>
      <c r="J28" s="192"/>
      <c r="K28" s="11"/>
      <c r="L28" s="11"/>
      <c r="M28" s="11"/>
      <c r="N28" s="11"/>
      <c r="O28" s="11"/>
      <c r="P28" s="11"/>
      <c r="Q28" s="11"/>
    </row>
    <row r="29" spans="1:17">
      <c r="A29" s="645"/>
      <c r="B29" s="681"/>
      <c r="C29" s="632"/>
      <c r="D29" s="174" t="s">
        <v>316</v>
      </c>
      <c r="E29" s="13">
        <v>8</v>
      </c>
      <c r="F29" s="200">
        <v>22.75</v>
      </c>
      <c r="G29" s="608"/>
      <c r="H29" s="507">
        <f t="shared" si="0"/>
        <v>3317</v>
      </c>
      <c r="I29" s="534">
        <v>3317</v>
      </c>
      <c r="J29" s="192"/>
      <c r="K29" s="11"/>
      <c r="L29" s="11"/>
      <c r="M29" s="11"/>
      <c r="N29" s="11"/>
      <c r="O29" s="11"/>
      <c r="P29" s="11"/>
      <c r="Q29" s="11"/>
    </row>
    <row r="30" spans="1:17" ht="20.25" customHeight="1">
      <c r="A30" s="645"/>
      <c r="B30" s="681"/>
      <c r="C30" s="685" t="s">
        <v>504</v>
      </c>
      <c r="D30" s="176">
        <v>1.1000000000000001</v>
      </c>
      <c r="E30" s="12">
        <v>2</v>
      </c>
      <c r="F30" s="199">
        <v>2.94</v>
      </c>
      <c r="G30" s="658">
        <v>96</v>
      </c>
      <c r="H30" s="506">
        <f t="shared" si="0"/>
        <v>500</v>
      </c>
      <c r="I30" s="534">
        <v>500</v>
      </c>
      <c r="J30" s="192"/>
      <c r="K30" s="11"/>
      <c r="L30" s="11"/>
      <c r="M30" s="11"/>
      <c r="N30" s="11"/>
      <c r="O30" s="11"/>
      <c r="P30" s="11"/>
      <c r="Q30" s="11"/>
    </row>
    <row r="31" spans="1:17">
      <c r="A31" s="645"/>
      <c r="B31" s="681"/>
      <c r="C31" s="686"/>
      <c r="D31" s="172">
        <v>1.3</v>
      </c>
      <c r="E31" s="13">
        <v>2</v>
      </c>
      <c r="F31" s="200">
        <v>3.48</v>
      </c>
      <c r="G31" s="659"/>
      <c r="H31" s="507">
        <f t="shared" si="0"/>
        <v>591</v>
      </c>
      <c r="I31" s="534">
        <v>591</v>
      </c>
      <c r="J31" s="192"/>
      <c r="K31" s="11"/>
      <c r="L31" s="11"/>
      <c r="M31" s="11"/>
      <c r="N31" s="11"/>
      <c r="O31" s="11"/>
      <c r="P31" s="11"/>
      <c r="Q31" s="11"/>
    </row>
    <row r="32" spans="1:17">
      <c r="A32" s="645"/>
      <c r="B32" s="681"/>
      <c r="C32" s="686"/>
      <c r="D32" s="174" t="s">
        <v>25</v>
      </c>
      <c r="E32" s="13">
        <v>2</v>
      </c>
      <c r="F32" s="200">
        <v>4.0199999999999996</v>
      </c>
      <c r="G32" s="659"/>
      <c r="H32" s="507">
        <f t="shared" si="0"/>
        <v>663</v>
      </c>
      <c r="I32" s="534">
        <v>663</v>
      </c>
      <c r="J32" s="192"/>
      <c r="K32" s="11"/>
      <c r="L32" s="11"/>
      <c r="M32" s="11"/>
      <c r="N32" s="11"/>
      <c r="O32" s="11"/>
      <c r="P32" s="11"/>
      <c r="Q32" s="11"/>
    </row>
    <row r="33" spans="1:17">
      <c r="A33" s="645"/>
      <c r="B33" s="681"/>
      <c r="C33" s="686"/>
      <c r="D33" s="172">
        <v>1.7</v>
      </c>
      <c r="E33" s="13">
        <v>2</v>
      </c>
      <c r="F33" s="200">
        <v>4.5599999999999996</v>
      </c>
      <c r="G33" s="659"/>
      <c r="H33" s="507">
        <f t="shared" si="0"/>
        <v>752</v>
      </c>
      <c r="I33" s="534">
        <v>752</v>
      </c>
      <c r="J33" s="192"/>
      <c r="K33" s="11"/>
      <c r="L33" s="11"/>
      <c r="M33" s="11"/>
      <c r="N33" s="11"/>
      <c r="O33" s="11"/>
      <c r="P33" s="11"/>
      <c r="Q33" s="11"/>
    </row>
    <row r="34" spans="1:17">
      <c r="A34" s="645"/>
      <c r="B34" s="681"/>
      <c r="C34" s="686"/>
      <c r="D34" s="172">
        <v>1.9</v>
      </c>
      <c r="E34" s="13">
        <v>2</v>
      </c>
      <c r="F34" s="200">
        <v>5.09</v>
      </c>
      <c r="G34" s="659"/>
      <c r="H34" s="507">
        <f t="shared" si="0"/>
        <v>839</v>
      </c>
      <c r="I34" s="534">
        <v>839</v>
      </c>
      <c r="J34" s="192"/>
      <c r="K34" s="11"/>
      <c r="L34" s="11"/>
      <c r="M34" s="11"/>
      <c r="N34" s="11"/>
      <c r="O34" s="11"/>
      <c r="P34" s="11"/>
      <c r="Q34" s="11"/>
    </row>
    <row r="35" spans="1:17">
      <c r="A35" s="645"/>
      <c r="B35" s="681"/>
      <c r="C35" s="686"/>
      <c r="D35" s="172" t="s">
        <v>312</v>
      </c>
      <c r="E35" s="13">
        <v>3</v>
      </c>
      <c r="F35" s="200">
        <v>5.36</v>
      </c>
      <c r="G35" s="659"/>
      <c r="H35" s="507">
        <f t="shared" si="0"/>
        <v>857</v>
      </c>
      <c r="I35" s="534">
        <v>857</v>
      </c>
      <c r="J35" s="192"/>
      <c r="K35" s="11"/>
      <c r="L35" s="11"/>
      <c r="M35" s="11"/>
      <c r="N35" s="11"/>
      <c r="O35" s="11"/>
      <c r="P35" s="11"/>
      <c r="Q35" s="11"/>
    </row>
    <row r="36" spans="1:17">
      <c r="A36" s="645"/>
      <c r="B36" s="681"/>
      <c r="C36" s="686"/>
      <c r="D36" s="172" t="s">
        <v>158</v>
      </c>
      <c r="E36" s="13">
        <v>3</v>
      </c>
      <c r="F36" s="200">
        <v>5.9</v>
      </c>
      <c r="G36" s="659"/>
      <c r="H36" s="507">
        <f t="shared" si="0"/>
        <v>944</v>
      </c>
      <c r="I36" s="534">
        <v>944</v>
      </c>
      <c r="J36" s="192"/>
      <c r="K36" s="11"/>
      <c r="L36" s="11"/>
      <c r="M36" s="11"/>
      <c r="N36" s="11"/>
      <c r="O36" s="11"/>
      <c r="P36" s="11"/>
      <c r="Q36" s="11"/>
    </row>
    <row r="37" spans="1:17">
      <c r="A37" s="645"/>
      <c r="B37" s="681"/>
      <c r="C37" s="686"/>
      <c r="D37" s="172">
        <v>2.4</v>
      </c>
      <c r="E37" s="13">
        <v>3</v>
      </c>
      <c r="F37" s="200">
        <v>6.43</v>
      </c>
      <c r="G37" s="659"/>
      <c r="H37" s="507">
        <f t="shared" si="0"/>
        <v>998</v>
      </c>
      <c r="I37" s="534">
        <v>998</v>
      </c>
      <c r="J37" s="192"/>
      <c r="K37" s="11"/>
      <c r="L37" s="11"/>
      <c r="M37" s="11"/>
      <c r="N37" s="11"/>
      <c r="O37" s="11"/>
      <c r="P37" s="11"/>
      <c r="Q37" s="11"/>
    </row>
    <row r="38" spans="1:17">
      <c r="A38" s="645"/>
      <c r="B38" s="681"/>
      <c r="C38" s="686"/>
      <c r="D38" s="172" t="s">
        <v>33</v>
      </c>
      <c r="E38" s="13">
        <v>4</v>
      </c>
      <c r="F38" s="200">
        <v>6.7</v>
      </c>
      <c r="G38" s="659"/>
      <c r="H38" s="507">
        <f t="shared" si="0"/>
        <v>1039</v>
      </c>
      <c r="I38" s="534">
        <v>1039</v>
      </c>
      <c r="J38" s="192"/>
      <c r="K38" s="11"/>
      <c r="L38" s="11"/>
      <c r="M38" s="11"/>
      <c r="N38" s="11"/>
      <c r="O38" s="11"/>
      <c r="P38" s="11"/>
      <c r="Q38" s="11"/>
    </row>
    <row r="39" spans="1:17">
      <c r="A39" s="645"/>
      <c r="B39" s="681"/>
      <c r="C39" s="686"/>
      <c r="D39" s="174" t="s">
        <v>313</v>
      </c>
      <c r="E39" s="13">
        <v>4</v>
      </c>
      <c r="F39" s="200">
        <v>8.0399999999999991</v>
      </c>
      <c r="G39" s="659"/>
      <c r="H39" s="507">
        <f t="shared" si="0"/>
        <v>1246</v>
      </c>
      <c r="I39" s="534">
        <v>1246</v>
      </c>
      <c r="J39" s="192"/>
      <c r="K39" s="11"/>
      <c r="L39" s="11"/>
      <c r="M39" s="11"/>
      <c r="N39" s="11"/>
      <c r="O39" s="11"/>
      <c r="P39" s="11"/>
      <c r="Q39" s="11"/>
    </row>
    <row r="40" spans="1:17">
      <c r="A40" s="645"/>
      <c r="B40" s="681"/>
      <c r="C40" s="686"/>
      <c r="D40" s="174" t="s">
        <v>314</v>
      </c>
      <c r="E40" s="13">
        <v>6</v>
      </c>
      <c r="F40" s="200">
        <v>10.72</v>
      </c>
      <c r="G40" s="683"/>
      <c r="H40" s="507">
        <f t="shared" si="0"/>
        <v>1661</v>
      </c>
      <c r="I40" s="534">
        <v>1661</v>
      </c>
      <c r="J40" s="192"/>
      <c r="K40" s="11"/>
      <c r="L40" s="11"/>
      <c r="M40" s="11"/>
      <c r="N40" s="11"/>
      <c r="O40" s="11"/>
      <c r="P40" s="11"/>
      <c r="Q40" s="11"/>
    </row>
    <row r="41" spans="1:17">
      <c r="A41" s="645"/>
      <c r="B41" s="681"/>
      <c r="C41" s="676" t="s">
        <v>566</v>
      </c>
      <c r="D41" s="266">
        <v>4</v>
      </c>
      <c r="E41" s="219">
        <v>6</v>
      </c>
      <c r="F41" s="220">
        <v>20</v>
      </c>
      <c r="G41" s="677">
        <v>54</v>
      </c>
      <c r="H41" s="509">
        <f t="shared" si="0"/>
        <v>2897</v>
      </c>
      <c r="I41" s="534">
        <v>2897</v>
      </c>
      <c r="J41" s="192"/>
      <c r="K41" s="11"/>
      <c r="L41" s="11"/>
      <c r="M41" s="11"/>
      <c r="N41" s="11"/>
      <c r="O41" s="11"/>
      <c r="P41" s="11"/>
      <c r="Q41" s="11"/>
    </row>
    <row r="42" spans="1:17">
      <c r="A42" s="645"/>
      <c r="B42" s="681"/>
      <c r="C42" s="676"/>
      <c r="D42" s="266">
        <v>5</v>
      </c>
      <c r="E42" s="13">
        <v>8</v>
      </c>
      <c r="F42" s="268">
        <v>25</v>
      </c>
      <c r="G42" s="678"/>
      <c r="H42" s="509">
        <f t="shared" si="0"/>
        <v>3698</v>
      </c>
      <c r="I42" s="534">
        <v>3698</v>
      </c>
      <c r="J42" s="192"/>
      <c r="K42" s="11"/>
      <c r="L42" s="11"/>
      <c r="M42" s="11"/>
      <c r="N42" s="11"/>
      <c r="O42" s="11"/>
      <c r="P42" s="11"/>
      <c r="Q42" s="11"/>
    </row>
    <row r="43" spans="1:17">
      <c r="A43" s="645"/>
      <c r="B43" s="681"/>
      <c r="C43" s="679" t="s">
        <v>565</v>
      </c>
      <c r="D43" s="266">
        <v>4</v>
      </c>
      <c r="E43" s="13">
        <v>6</v>
      </c>
      <c r="F43" s="268">
        <v>30</v>
      </c>
      <c r="G43" s="678"/>
      <c r="H43" s="509">
        <f t="shared" si="0"/>
        <v>4330</v>
      </c>
      <c r="I43" s="534">
        <v>4330</v>
      </c>
      <c r="J43" s="192"/>
      <c r="K43" s="11"/>
      <c r="L43" s="11"/>
      <c r="M43" s="11"/>
      <c r="N43" s="11"/>
      <c r="O43" s="11"/>
      <c r="P43" s="11"/>
      <c r="Q43" s="11"/>
    </row>
    <row r="44" spans="1:17">
      <c r="A44" s="645"/>
      <c r="B44" s="681"/>
      <c r="C44" s="679"/>
      <c r="D44" s="443">
        <v>5</v>
      </c>
      <c r="E44" s="219">
        <v>8</v>
      </c>
      <c r="F44" s="220">
        <v>37.5</v>
      </c>
      <c r="G44" s="677"/>
      <c r="H44" s="509">
        <f t="shared" si="0"/>
        <v>5509</v>
      </c>
      <c r="I44" s="534">
        <v>5509</v>
      </c>
      <c r="J44" s="192"/>
      <c r="K44" s="11"/>
      <c r="L44" s="11"/>
      <c r="M44" s="11"/>
      <c r="N44" s="11"/>
      <c r="O44" s="11"/>
      <c r="P44" s="11"/>
      <c r="Q44" s="11"/>
    </row>
    <row r="45" spans="1:17">
      <c r="A45" s="645"/>
      <c r="B45" s="681"/>
      <c r="C45" s="676" t="s">
        <v>494</v>
      </c>
      <c r="D45" s="266" t="s">
        <v>315</v>
      </c>
      <c r="E45" s="445">
        <v>6</v>
      </c>
      <c r="F45" s="446">
        <v>15.56</v>
      </c>
      <c r="G45" s="644">
        <v>72</v>
      </c>
      <c r="H45" s="507">
        <f t="shared" si="0"/>
        <v>2412</v>
      </c>
      <c r="I45" s="534">
        <v>2412</v>
      </c>
      <c r="J45" s="192"/>
      <c r="K45" s="11"/>
      <c r="L45" s="11"/>
      <c r="M45" s="11"/>
      <c r="N45" s="11"/>
      <c r="O45" s="11"/>
      <c r="P45" s="11"/>
      <c r="Q45" s="11"/>
    </row>
    <row r="46" spans="1:17">
      <c r="A46" s="637"/>
      <c r="B46" s="682"/>
      <c r="C46" s="687"/>
      <c r="D46" s="267" t="s">
        <v>316</v>
      </c>
      <c r="E46" s="18">
        <v>8</v>
      </c>
      <c r="F46" s="444">
        <v>19.45</v>
      </c>
      <c r="G46" s="608"/>
      <c r="H46" s="508">
        <f t="shared" si="0"/>
        <v>3015</v>
      </c>
      <c r="I46" s="534">
        <v>3015</v>
      </c>
      <c r="J46" s="192"/>
      <c r="K46" s="11"/>
      <c r="L46" s="11"/>
      <c r="M46" s="11"/>
      <c r="N46" s="11"/>
      <c r="O46" s="11"/>
      <c r="P46" s="11"/>
      <c r="Q46" s="11"/>
    </row>
    <row r="47" spans="1:17" ht="31.5" customHeight="1">
      <c r="A47" s="666"/>
      <c r="B47" s="673" t="s">
        <v>293</v>
      </c>
      <c r="C47" s="257" t="s">
        <v>578</v>
      </c>
      <c r="D47" s="259">
        <v>2</v>
      </c>
      <c r="E47" s="254" t="s">
        <v>44</v>
      </c>
      <c r="F47" s="221">
        <v>3.85</v>
      </c>
      <c r="G47" s="644">
        <v>140</v>
      </c>
      <c r="H47" s="246">
        <f t="shared" si="0"/>
        <v>468</v>
      </c>
      <c r="I47" s="534">
        <v>468</v>
      </c>
      <c r="J47" s="192"/>
      <c r="K47" s="11"/>
      <c r="L47" s="11"/>
      <c r="M47" s="11"/>
      <c r="N47" s="11"/>
      <c r="O47" s="11"/>
      <c r="P47" s="11"/>
      <c r="Q47" s="11"/>
    </row>
    <row r="48" spans="1:17" ht="27.75" customHeight="1">
      <c r="A48" s="689"/>
      <c r="B48" s="679"/>
      <c r="C48" s="582" t="s">
        <v>578</v>
      </c>
      <c r="D48" s="259">
        <v>2.5</v>
      </c>
      <c r="E48" s="254" t="s">
        <v>44</v>
      </c>
      <c r="F48" s="221">
        <v>4.8</v>
      </c>
      <c r="G48" s="644"/>
      <c r="H48" s="330">
        <f t="shared" si="0"/>
        <v>581</v>
      </c>
      <c r="I48" s="534">
        <v>581</v>
      </c>
      <c r="J48" s="192"/>
      <c r="K48" s="11"/>
      <c r="L48" s="11"/>
      <c r="M48" s="11"/>
      <c r="N48" s="11"/>
      <c r="O48" s="11"/>
      <c r="P48" s="11"/>
      <c r="Q48" s="11"/>
    </row>
    <row r="49" spans="1:17" ht="29.25" customHeight="1">
      <c r="A49" s="689"/>
      <c r="B49" s="673" t="s">
        <v>294</v>
      </c>
      <c r="C49" s="582" t="s">
        <v>578</v>
      </c>
      <c r="D49" s="259">
        <v>2</v>
      </c>
      <c r="E49" s="254" t="s">
        <v>44</v>
      </c>
      <c r="F49" s="221">
        <v>3.85</v>
      </c>
      <c r="G49" s="644"/>
      <c r="H49" s="330">
        <f t="shared" si="0"/>
        <v>562</v>
      </c>
      <c r="I49" s="534">
        <v>562</v>
      </c>
      <c r="J49" s="192"/>
      <c r="K49" s="11"/>
      <c r="L49" s="11"/>
      <c r="M49" s="11"/>
      <c r="N49" s="11"/>
      <c r="O49" s="11"/>
      <c r="P49" s="11"/>
      <c r="Q49" s="11"/>
    </row>
    <row r="50" spans="1:17" ht="31.5" customHeight="1">
      <c r="A50" s="667"/>
      <c r="B50" s="674"/>
      <c r="C50" s="582" t="s">
        <v>578</v>
      </c>
      <c r="D50" s="259">
        <v>2.5</v>
      </c>
      <c r="E50" s="254" t="s">
        <v>44</v>
      </c>
      <c r="F50" s="221">
        <v>4.8</v>
      </c>
      <c r="G50" s="608"/>
      <c r="H50" s="330">
        <f t="shared" si="0"/>
        <v>722</v>
      </c>
      <c r="I50" s="534">
        <v>722</v>
      </c>
      <c r="J50" s="192"/>
      <c r="K50" s="11"/>
      <c r="L50" s="11"/>
      <c r="M50" s="11"/>
      <c r="N50" s="11"/>
      <c r="O50" s="11"/>
      <c r="P50" s="11"/>
      <c r="Q50" s="11"/>
    </row>
    <row r="51" spans="1:17" ht="30" customHeight="1">
      <c r="A51" s="666"/>
      <c r="B51" s="673" t="s">
        <v>324</v>
      </c>
      <c r="C51" s="673" t="s">
        <v>579</v>
      </c>
      <c r="D51" s="690">
        <v>2</v>
      </c>
      <c r="E51" s="334" t="s">
        <v>285</v>
      </c>
      <c r="F51" s="221">
        <v>1.95</v>
      </c>
      <c r="G51" s="256">
        <v>140</v>
      </c>
      <c r="H51" s="469">
        <f t="shared" si="0"/>
        <v>392</v>
      </c>
      <c r="I51" s="534">
        <v>392</v>
      </c>
      <c r="J51" s="192"/>
      <c r="K51" s="11"/>
      <c r="L51" s="11"/>
      <c r="M51" s="11"/>
      <c r="N51" s="11"/>
      <c r="O51" s="11"/>
      <c r="P51" s="11"/>
      <c r="Q51" s="11"/>
    </row>
    <row r="52" spans="1:17" ht="45" customHeight="1">
      <c r="A52" s="667"/>
      <c r="B52" s="674"/>
      <c r="C52" s="674"/>
      <c r="D52" s="691"/>
      <c r="E52" s="326" t="s">
        <v>331</v>
      </c>
      <c r="F52" s="221">
        <v>1.95</v>
      </c>
      <c r="G52" s="256">
        <v>140</v>
      </c>
      <c r="H52" s="469">
        <f t="shared" si="0"/>
        <v>416</v>
      </c>
      <c r="I52" s="534">
        <v>416</v>
      </c>
      <c r="J52" s="192"/>
      <c r="K52" s="11"/>
      <c r="L52" s="11"/>
      <c r="M52" s="11"/>
      <c r="N52" s="11"/>
      <c r="O52" s="11"/>
      <c r="P52" s="11"/>
      <c r="Q52" s="11"/>
    </row>
    <row r="53" spans="1:17" ht="26.25" customHeight="1">
      <c r="A53" s="668"/>
      <c r="B53" s="692" t="s">
        <v>34</v>
      </c>
      <c r="C53" s="692"/>
      <c r="D53" s="693" t="s">
        <v>44</v>
      </c>
      <c r="E53" s="668" t="s">
        <v>159</v>
      </c>
      <c r="F53" s="688">
        <v>0.05</v>
      </c>
      <c r="G53" s="606">
        <v>100</v>
      </c>
      <c r="H53" s="696">
        <f t="shared" si="0"/>
        <v>51</v>
      </c>
      <c r="I53" s="534">
        <v>51</v>
      </c>
      <c r="J53" s="192"/>
      <c r="K53" s="11"/>
      <c r="L53" s="11"/>
      <c r="M53" s="11"/>
      <c r="N53" s="11"/>
      <c r="O53" s="11"/>
      <c r="P53" s="11"/>
      <c r="Q53" s="11"/>
    </row>
    <row r="54" spans="1:17" ht="21.75" customHeight="1">
      <c r="A54" s="668"/>
      <c r="B54" s="692"/>
      <c r="C54" s="692"/>
      <c r="D54" s="693"/>
      <c r="E54" s="668"/>
      <c r="F54" s="688"/>
      <c r="G54" s="606"/>
      <c r="H54" s="697">
        <f t="shared" si="0"/>
        <v>0</v>
      </c>
      <c r="I54" s="534"/>
      <c r="J54" s="192"/>
      <c r="K54" s="11"/>
      <c r="L54" s="11"/>
      <c r="M54" s="11"/>
      <c r="N54" s="11"/>
      <c r="O54" s="11"/>
      <c r="P54" s="11"/>
      <c r="Q54" s="11"/>
    </row>
    <row r="55" spans="1:17" ht="43.5" customHeight="1">
      <c r="A55" s="249"/>
      <c r="B55" s="662" t="s">
        <v>299</v>
      </c>
      <c r="C55" s="663"/>
      <c r="D55" s="248" t="s">
        <v>44</v>
      </c>
      <c r="E55" s="431" t="s">
        <v>159</v>
      </c>
      <c r="F55" s="258">
        <v>0.08</v>
      </c>
      <c r="G55" s="247">
        <v>100</v>
      </c>
      <c r="H55" s="470">
        <f t="shared" si="0"/>
        <v>89</v>
      </c>
      <c r="I55" s="534">
        <v>89</v>
      </c>
      <c r="J55" s="192"/>
      <c r="K55" s="11"/>
      <c r="L55" s="11"/>
      <c r="M55" s="11"/>
      <c r="N55" s="11"/>
      <c r="O55" s="11"/>
      <c r="P55" s="11"/>
      <c r="Q55" s="11"/>
    </row>
    <row r="56" spans="1:17" ht="47.25" customHeight="1">
      <c r="A56" s="249"/>
      <c r="B56" s="662" t="s">
        <v>399</v>
      </c>
      <c r="C56" s="663"/>
      <c r="D56" s="248" t="s">
        <v>44</v>
      </c>
      <c r="E56" s="249" t="s">
        <v>159</v>
      </c>
      <c r="F56" s="258">
        <v>7.0000000000000007E-2</v>
      </c>
      <c r="G56" s="247">
        <v>100</v>
      </c>
      <c r="H56" s="470">
        <f t="shared" si="0"/>
        <v>32</v>
      </c>
      <c r="I56" s="534">
        <v>32</v>
      </c>
      <c r="J56" s="192"/>
      <c r="K56" s="11"/>
      <c r="L56" s="11"/>
      <c r="M56" s="11"/>
      <c r="N56" s="11"/>
      <c r="O56" s="11"/>
      <c r="P56" s="11"/>
      <c r="Q56" s="11"/>
    </row>
    <row r="57" spans="1:17" ht="42.75" customHeight="1">
      <c r="A57" s="411"/>
      <c r="B57" s="662" t="s">
        <v>486</v>
      </c>
      <c r="C57" s="663"/>
      <c r="D57" s="410" t="s">
        <v>44</v>
      </c>
      <c r="E57" s="411" t="s">
        <v>331</v>
      </c>
      <c r="F57" s="412">
        <v>0.05</v>
      </c>
      <c r="G57" s="409">
        <v>100</v>
      </c>
      <c r="H57" s="470">
        <f t="shared" si="0"/>
        <v>39</v>
      </c>
      <c r="I57" s="534">
        <v>39</v>
      </c>
      <c r="J57" s="192"/>
      <c r="K57" s="11"/>
      <c r="L57" s="11"/>
      <c r="M57" s="11"/>
      <c r="N57" s="11"/>
      <c r="O57" s="11"/>
      <c r="P57" s="11"/>
      <c r="Q57" s="11"/>
    </row>
    <row r="58" spans="1:17" ht="44.25" customHeight="1">
      <c r="A58" s="222"/>
      <c r="B58" s="698" t="s">
        <v>325</v>
      </c>
      <c r="C58" s="698"/>
      <c r="D58" s="223" t="s">
        <v>326</v>
      </c>
      <c r="E58" s="222" t="s">
        <v>159</v>
      </c>
      <c r="F58" s="258">
        <v>0.1</v>
      </c>
      <c r="G58" s="143">
        <v>100</v>
      </c>
      <c r="H58" s="470">
        <f t="shared" si="0"/>
        <v>89</v>
      </c>
      <c r="I58" s="534">
        <v>89</v>
      </c>
      <c r="J58" s="192"/>
      <c r="K58" s="11"/>
      <c r="L58" s="11"/>
      <c r="M58" s="11"/>
      <c r="N58" s="11"/>
      <c r="O58" s="11"/>
      <c r="P58" s="11"/>
      <c r="Q58" s="11"/>
    </row>
    <row r="59" spans="1:17" ht="44.25" customHeight="1">
      <c r="A59" s="167"/>
      <c r="B59" s="631" t="s">
        <v>14</v>
      </c>
      <c r="C59" s="631"/>
      <c r="D59" s="19" t="s">
        <v>24</v>
      </c>
      <c r="E59" s="249" t="s">
        <v>159</v>
      </c>
      <c r="F59" s="258">
        <v>0.1</v>
      </c>
      <c r="G59" s="247">
        <v>100</v>
      </c>
      <c r="H59" s="211">
        <f t="shared" si="0"/>
        <v>89</v>
      </c>
      <c r="I59" s="534">
        <v>89</v>
      </c>
      <c r="J59" s="192"/>
      <c r="K59" s="11"/>
      <c r="L59" s="11"/>
      <c r="M59" s="11"/>
      <c r="N59" s="11"/>
      <c r="O59" s="11"/>
      <c r="P59" s="11"/>
      <c r="Q59" s="11"/>
    </row>
    <row r="60" spans="1:17" ht="42.75" customHeight="1">
      <c r="A60" s="167"/>
      <c r="B60" s="631" t="s">
        <v>20</v>
      </c>
      <c r="C60" s="631"/>
      <c r="D60" s="19" t="s">
        <v>21</v>
      </c>
      <c r="E60" s="249" t="s">
        <v>159</v>
      </c>
      <c r="F60" s="258">
        <v>0.1</v>
      </c>
      <c r="G60" s="247">
        <v>100</v>
      </c>
      <c r="H60" s="211">
        <f t="shared" si="0"/>
        <v>114</v>
      </c>
      <c r="I60" s="534">
        <v>114</v>
      </c>
      <c r="J60" s="192"/>
      <c r="K60" s="11"/>
      <c r="L60" s="11"/>
      <c r="M60" s="11"/>
      <c r="N60" s="11"/>
      <c r="O60" s="11"/>
      <c r="P60" s="11"/>
      <c r="Q60" s="11"/>
    </row>
    <row r="61" spans="1:17" ht="43.5" customHeight="1">
      <c r="A61" s="167"/>
      <c r="B61" s="631" t="s">
        <v>400</v>
      </c>
      <c r="C61" s="631"/>
      <c r="D61" s="19" t="s">
        <v>24</v>
      </c>
      <c r="E61" s="431" t="s">
        <v>159</v>
      </c>
      <c r="F61" s="327">
        <v>0.1</v>
      </c>
      <c r="G61" s="324">
        <v>100</v>
      </c>
      <c r="H61" s="330">
        <f t="shared" si="0"/>
        <v>89</v>
      </c>
      <c r="I61" s="534">
        <v>89</v>
      </c>
      <c r="J61" s="192"/>
      <c r="K61" s="11"/>
      <c r="L61" s="11"/>
      <c r="M61" s="11"/>
      <c r="N61" s="11"/>
      <c r="O61" s="11"/>
      <c r="P61" s="11"/>
      <c r="Q61" s="11"/>
    </row>
    <row r="62" spans="1:17" ht="49.5" customHeight="1">
      <c r="A62" s="167"/>
      <c r="B62" s="671" t="s">
        <v>351</v>
      </c>
      <c r="C62" s="672"/>
      <c r="D62" s="19" t="s">
        <v>44</v>
      </c>
      <c r="E62" s="279" t="s">
        <v>318</v>
      </c>
      <c r="F62" s="281"/>
      <c r="G62" s="280">
        <v>100</v>
      </c>
      <c r="H62" s="211">
        <f t="shared" si="0"/>
        <v>22</v>
      </c>
      <c r="I62" s="534">
        <v>22</v>
      </c>
      <c r="J62" s="192"/>
      <c r="K62" s="11"/>
      <c r="L62" s="11"/>
      <c r="M62" s="11"/>
      <c r="N62" s="11"/>
      <c r="O62" s="11"/>
      <c r="P62" s="11"/>
      <c r="Q62" s="11"/>
    </row>
    <row r="63" spans="1:17" ht="41.25" customHeight="1">
      <c r="A63" s="47"/>
      <c r="B63" s="631" t="s">
        <v>161</v>
      </c>
      <c r="C63" s="631"/>
      <c r="D63" s="19" t="s">
        <v>44</v>
      </c>
      <c r="E63" s="249" t="s">
        <v>318</v>
      </c>
      <c r="F63" s="20">
        <v>8.0000000000000002E-3</v>
      </c>
      <c r="G63" s="143">
        <v>1500</v>
      </c>
      <c r="H63" s="211">
        <f t="shared" si="0"/>
        <v>39</v>
      </c>
      <c r="I63" s="534">
        <v>39</v>
      </c>
      <c r="J63" s="192"/>
      <c r="K63" s="11"/>
      <c r="L63" s="11"/>
      <c r="M63" s="11"/>
      <c r="N63" s="11"/>
      <c r="O63" s="11"/>
      <c r="P63" s="11"/>
      <c r="Q63" s="11"/>
    </row>
    <row r="64" spans="1:17" ht="40.5" customHeight="1">
      <c r="A64" s="47"/>
      <c r="B64" s="631" t="s">
        <v>286</v>
      </c>
      <c r="C64" s="631"/>
      <c r="D64" s="19">
        <v>0.55000000000000004</v>
      </c>
      <c r="E64" s="434" t="s">
        <v>159</v>
      </c>
      <c r="F64" s="171">
        <v>0.9</v>
      </c>
      <c r="G64" s="143">
        <v>16</v>
      </c>
      <c r="H64" s="211">
        <f t="shared" si="0"/>
        <v>620</v>
      </c>
      <c r="I64" s="534">
        <v>620</v>
      </c>
      <c r="J64" s="192"/>
      <c r="K64" s="11"/>
      <c r="L64" s="11"/>
      <c r="M64" s="11"/>
      <c r="N64" s="11"/>
      <c r="O64" s="11"/>
      <c r="P64" s="11"/>
      <c r="Q64" s="11"/>
    </row>
    <row r="65" spans="1:17" ht="53.25" customHeight="1">
      <c r="A65" s="47"/>
      <c r="B65" s="631" t="s">
        <v>170</v>
      </c>
      <c r="C65" s="631"/>
      <c r="D65" s="19">
        <v>0.55000000000000004</v>
      </c>
      <c r="E65" s="249" t="s">
        <v>159</v>
      </c>
      <c r="F65" s="171">
        <v>0.9</v>
      </c>
      <c r="G65" s="143">
        <v>16</v>
      </c>
      <c r="H65" s="211">
        <f t="shared" si="0"/>
        <v>772</v>
      </c>
      <c r="I65" s="534">
        <v>772</v>
      </c>
      <c r="J65" s="192"/>
      <c r="K65" s="11"/>
      <c r="L65" s="11"/>
      <c r="M65" s="11"/>
      <c r="N65" s="11"/>
      <c r="O65" s="11"/>
      <c r="P65" s="11"/>
      <c r="Q65" s="11"/>
    </row>
    <row r="66" spans="1:17" ht="47.25" customHeight="1">
      <c r="A66" s="47"/>
      <c r="B66" s="631" t="s">
        <v>162</v>
      </c>
      <c r="C66" s="631"/>
      <c r="D66" s="19">
        <v>0.55000000000000004</v>
      </c>
      <c r="E66" s="249" t="s">
        <v>159</v>
      </c>
      <c r="F66" s="250">
        <v>1.1100000000000001</v>
      </c>
      <c r="G66" s="143">
        <v>20</v>
      </c>
      <c r="H66" s="211">
        <f t="shared" si="0"/>
        <v>361</v>
      </c>
      <c r="I66" s="534">
        <v>361</v>
      </c>
      <c r="J66" s="192"/>
      <c r="K66" s="11"/>
      <c r="L66" s="11"/>
      <c r="M66" s="11"/>
      <c r="N66" s="11"/>
      <c r="O66" s="11"/>
      <c r="P66" s="11"/>
      <c r="Q66" s="11"/>
    </row>
    <row r="67" spans="1:17" ht="57" customHeight="1">
      <c r="A67" s="47"/>
      <c r="B67" s="671" t="s">
        <v>70</v>
      </c>
      <c r="C67" s="672"/>
      <c r="D67" s="19">
        <v>0.55000000000000004</v>
      </c>
      <c r="E67" s="249" t="s">
        <v>159</v>
      </c>
      <c r="F67" s="171">
        <v>0.9</v>
      </c>
      <c r="G67" s="143" t="s">
        <v>44</v>
      </c>
      <c r="H67" s="211">
        <f t="shared" si="0"/>
        <v>696</v>
      </c>
      <c r="I67" s="534">
        <v>696</v>
      </c>
      <c r="J67" s="192"/>
      <c r="K67" s="11"/>
      <c r="L67" s="11"/>
      <c r="M67" s="11"/>
      <c r="N67" s="11"/>
      <c r="O67" s="11"/>
      <c r="P67" s="11"/>
      <c r="Q67" s="11"/>
    </row>
    <row r="68" spans="1:17" ht="51" customHeight="1">
      <c r="A68" s="47"/>
      <c r="B68" s="671" t="s">
        <v>69</v>
      </c>
      <c r="C68" s="672"/>
      <c r="D68" s="19">
        <v>0.55000000000000004</v>
      </c>
      <c r="E68" s="249" t="s">
        <v>159</v>
      </c>
      <c r="F68" s="171">
        <v>0.9</v>
      </c>
      <c r="G68" s="143" t="s">
        <v>283</v>
      </c>
      <c r="H68" s="211">
        <f t="shared" si="0"/>
        <v>848</v>
      </c>
      <c r="I68" s="534">
        <v>848</v>
      </c>
      <c r="J68" s="192"/>
      <c r="K68" s="11"/>
      <c r="L68" s="11"/>
      <c r="M68" s="11"/>
      <c r="N68" s="11"/>
      <c r="O68" s="11"/>
      <c r="P68" s="11"/>
      <c r="Q68" s="11"/>
    </row>
    <row r="69" spans="1:17" ht="44.25" customHeight="1">
      <c r="A69" s="664"/>
      <c r="B69" s="671" t="s">
        <v>347</v>
      </c>
      <c r="C69" s="672"/>
      <c r="D69" s="19">
        <v>0.55000000000000004</v>
      </c>
      <c r="E69" s="279" t="s">
        <v>159</v>
      </c>
      <c r="F69" s="171">
        <v>1.1000000000000001</v>
      </c>
      <c r="G69" s="143" t="s">
        <v>283</v>
      </c>
      <c r="H69" s="211">
        <f t="shared" si="0"/>
        <v>572</v>
      </c>
      <c r="I69" s="534">
        <v>572</v>
      </c>
      <c r="J69" s="192"/>
      <c r="K69" s="11"/>
      <c r="L69" s="11"/>
      <c r="M69" s="11"/>
      <c r="N69" s="11"/>
      <c r="O69" s="11"/>
      <c r="P69" s="11"/>
      <c r="Q69" s="11"/>
    </row>
    <row r="70" spans="1:17" ht="44.25" customHeight="1">
      <c r="A70" s="665"/>
      <c r="B70" s="671" t="s">
        <v>348</v>
      </c>
      <c r="C70" s="672"/>
      <c r="D70" s="19">
        <v>0.95</v>
      </c>
      <c r="E70" s="279" t="s">
        <v>159</v>
      </c>
      <c r="F70" s="282">
        <v>1.86</v>
      </c>
      <c r="G70" s="143" t="s">
        <v>283</v>
      </c>
      <c r="H70" s="211">
        <f t="shared" si="0"/>
        <v>1276</v>
      </c>
      <c r="I70" s="534">
        <v>1276</v>
      </c>
      <c r="J70" s="192"/>
      <c r="K70" s="11"/>
      <c r="L70" s="11"/>
      <c r="M70" s="11"/>
      <c r="N70" s="11"/>
      <c r="O70" s="11"/>
      <c r="P70" s="11"/>
      <c r="Q70" s="11"/>
    </row>
    <row r="71" spans="1:17" ht="53.25" customHeight="1">
      <c r="A71" s="422"/>
      <c r="B71" s="671" t="s">
        <v>499</v>
      </c>
      <c r="C71" s="672"/>
      <c r="D71" s="19" t="s">
        <v>498</v>
      </c>
      <c r="E71" s="421" t="s">
        <v>331</v>
      </c>
      <c r="F71" s="420">
        <v>4</v>
      </c>
      <c r="G71" s="143" t="s">
        <v>283</v>
      </c>
      <c r="H71" s="211">
        <f t="shared" si="0"/>
        <v>2745</v>
      </c>
      <c r="I71" s="534">
        <v>2745</v>
      </c>
      <c r="J71" s="192"/>
      <c r="K71" s="11"/>
      <c r="L71" s="11"/>
      <c r="M71" s="11"/>
      <c r="N71" s="11"/>
      <c r="O71" s="11"/>
      <c r="P71" s="11"/>
      <c r="Q71" s="11"/>
    </row>
    <row r="72" spans="1:17" ht="48.75" customHeight="1">
      <c r="A72" s="47"/>
      <c r="B72" s="631" t="s">
        <v>202</v>
      </c>
      <c r="C72" s="631"/>
      <c r="D72" s="19" t="s">
        <v>44</v>
      </c>
      <c r="E72" s="249" t="s">
        <v>285</v>
      </c>
      <c r="F72" s="20">
        <v>2E-3</v>
      </c>
      <c r="G72" s="143">
        <v>200</v>
      </c>
      <c r="H72" s="211">
        <f t="shared" si="0"/>
        <v>13</v>
      </c>
      <c r="I72" s="534">
        <v>13</v>
      </c>
      <c r="J72" s="192"/>
      <c r="K72" s="11"/>
      <c r="L72" s="11"/>
      <c r="M72" s="11"/>
      <c r="N72" s="11"/>
      <c r="O72" s="11"/>
      <c r="P72" s="11"/>
      <c r="Q72" s="11"/>
    </row>
    <row r="73" spans="1:17" ht="55.5" customHeight="1">
      <c r="A73" s="47"/>
      <c r="B73" s="631" t="s">
        <v>276</v>
      </c>
      <c r="C73" s="631"/>
      <c r="D73" s="19" t="s">
        <v>44</v>
      </c>
      <c r="E73" s="249" t="s">
        <v>285</v>
      </c>
      <c r="F73" s="250">
        <v>0.05</v>
      </c>
      <c r="G73" s="247">
        <v>100</v>
      </c>
      <c r="H73" s="211">
        <f t="shared" si="0"/>
        <v>19</v>
      </c>
      <c r="I73" s="534">
        <v>19</v>
      </c>
      <c r="J73" s="192"/>
      <c r="K73" s="11"/>
      <c r="L73" s="11"/>
      <c r="M73" s="11"/>
      <c r="N73" s="11"/>
      <c r="O73" s="11"/>
      <c r="P73" s="11"/>
      <c r="Q73" s="11"/>
    </row>
    <row r="74" spans="1:17" ht="50.25" customHeight="1">
      <c r="A74" s="47"/>
      <c r="B74" s="671" t="s">
        <v>68</v>
      </c>
      <c r="C74" s="672"/>
      <c r="D74" s="19" t="s">
        <v>44</v>
      </c>
      <c r="E74" s="249" t="s">
        <v>159</v>
      </c>
      <c r="F74" s="247">
        <v>0.17</v>
      </c>
      <c r="G74" s="180" t="s">
        <v>44</v>
      </c>
      <c r="H74" s="211">
        <f t="shared" si="0"/>
        <v>405</v>
      </c>
      <c r="I74" s="534">
        <v>405</v>
      </c>
      <c r="J74" s="192"/>
      <c r="K74" s="11"/>
      <c r="L74" s="11"/>
      <c r="M74" s="11"/>
      <c r="N74" s="11"/>
      <c r="O74" s="11"/>
      <c r="P74" s="11"/>
      <c r="Q74" s="11"/>
    </row>
    <row r="75" spans="1:17" ht="51" customHeight="1">
      <c r="A75" s="47"/>
      <c r="B75" s="631" t="s">
        <v>171</v>
      </c>
      <c r="C75" s="631"/>
      <c r="D75" s="19" t="s">
        <v>44</v>
      </c>
      <c r="E75" s="249" t="s">
        <v>310</v>
      </c>
      <c r="F75" s="20" t="s">
        <v>44</v>
      </c>
      <c r="G75" s="247">
        <v>200</v>
      </c>
      <c r="H75" s="211">
        <f t="shared" si="0"/>
        <v>44</v>
      </c>
      <c r="I75" s="534">
        <v>44</v>
      </c>
      <c r="J75" s="192"/>
      <c r="K75" s="11"/>
      <c r="L75" s="11"/>
      <c r="M75" s="11"/>
      <c r="N75" s="11"/>
      <c r="O75" s="11"/>
      <c r="P75" s="11"/>
      <c r="Q75" s="11"/>
    </row>
    <row r="76" spans="1:17" ht="54" customHeight="1">
      <c r="A76" s="252"/>
      <c r="B76" s="694" t="s">
        <v>277</v>
      </c>
      <c r="C76" s="695"/>
      <c r="D76" s="181" t="s">
        <v>44</v>
      </c>
      <c r="E76" s="432" t="s">
        <v>159</v>
      </c>
      <c r="F76" s="182">
        <v>0.72</v>
      </c>
      <c r="G76" s="255">
        <v>2</v>
      </c>
      <c r="H76" s="469">
        <f t="shared" si="0"/>
        <v>494</v>
      </c>
      <c r="I76" s="534">
        <v>494</v>
      </c>
      <c r="J76" s="192"/>
      <c r="K76" s="11"/>
      <c r="L76" s="11"/>
      <c r="M76" s="11"/>
      <c r="N76" s="11"/>
      <c r="O76" s="11"/>
      <c r="P76" s="11"/>
      <c r="Q76" s="11"/>
    </row>
    <row r="77" spans="1:17" ht="57.75" customHeight="1">
      <c r="A77" s="668"/>
      <c r="B77" s="631" t="s">
        <v>4</v>
      </c>
      <c r="C77" s="251" t="s">
        <v>150</v>
      </c>
      <c r="D77" s="705">
        <v>35</v>
      </c>
      <c r="E77" s="705"/>
      <c r="F77" s="705"/>
      <c r="G77" s="142">
        <v>50</v>
      </c>
      <c r="H77" s="211">
        <f t="shared" ref="H77:H96" si="1">ROUND(I77*(1-$B$108),2)</f>
        <v>570</v>
      </c>
      <c r="I77" s="534">
        <v>570</v>
      </c>
      <c r="J77" s="192"/>
      <c r="K77" s="11"/>
      <c r="L77" s="11"/>
      <c r="M77" s="11"/>
      <c r="N77" s="11"/>
      <c r="O77" s="11"/>
      <c r="P77" s="11"/>
      <c r="Q77" s="11"/>
    </row>
    <row r="78" spans="1:17" ht="49.5" customHeight="1">
      <c r="A78" s="668"/>
      <c r="B78" s="631"/>
      <c r="C78" s="433" t="s">
        <v>151</v>
      </c>
      <c r="D78" s="705"/>
      <c r="E78" s="705"/>
      <c r="F78" s="705"/>
      <c r="G78" s="142" t="s">
        <v>283</v>
      </c>
      <c r="H78" s="211">
        <f t="shared" si="1"/>
        <v>633</v>
      </c>
      <c r="I78" s="534">
        <v>633</v>
      </c>
      <c r="J78" s="192"/>
      <c r="K78" s="11"/>
      <c r="L78" s="11"/>
      <c r="M78" s="11"/>
      <c r="N78" s="11"/>
      <c r="O78" s="11"/>
      <c r="P78" s="11"/>
      <c r="Q78" s="11"/>
    </row>
    <row r="79" spans="1:17" ht="54.75" customHeight="1">
      <c r="A79" s="222"/>
      <c r="B79" s="669" t="s">
        <v>327</v>
      </c>
      <c r="C79" s="670"/>
      <c r="D79" s="706" t="s">
        <v>44</v>
      </c>
      <c r="E79" s="707"/>
      <c r="F79" s="708"/>
      <c r="G79" s="142" t="s">
        <v>283</v>
      </c>
      <c r="H79" s="469">
        <f t="shared" si="1"/>
        <v>330</v>
      </c>
      <c r="I79" s="534">
        <v>330</v>
      </c>
      <c r="J79" s="192"/>
      <c r="K79" s="11"/>
      <c r="L79" s="11"/>
      <c r="M79" s="11"/>
      <c r="N79" s="11"/>
      <c r="O79" s="11"/>
      <c r="P79" s="11"/>
      <c r="Q79" s="11"/>
    </row>
    <row r="80" spans="1:17" ht="43.5" customHeight="1">
      <c r="A80" s="666"/>
      <c r="B80" s="669" t="s">
        <v>456</v>
      </c>
      <c r="C80" s="670"/>
      <c r="D80" s="336" t="s">
        <v>44</v>
      </c>
      <c r="E80" s="223" t="s">
        <v>285</v>
      </c>
      <c r="F80" s="223">
        <v>6.65</v>
      </c>
      <c r="G80" s="658" t="s">
        <v>36</v>
      </c>
      <c r="H80" s="469">
        <f t="shared" si="1"/>
        <v>1683</v>
      </c>
      <c r="I80" s="534">
        <v>1683</v>
      </c>
      <c r="J80" s="192"/>
      <c r="K80" s="11"/>
      <c r="L80" s="11"/>
      <c r="M80" s="11"/>
      <c r="N80" s="11"/>
      <c r="O80" s="11"/>
      <c r="P80" s="11"/>
      <c r="Q80" s="11"/>
    </row>
    <row r="81" spans="1:17" ht="45" customHeight="1">
      <c r="A81" s="667"/>
      <c r="B81" s="669" t="s">
        <v>457</v>
      </c>
      <c r="C81" s="670"/>
      <c r="D81" s="336" t="s">
        <v>44</v>
      </c>
      <c r="E81" s="223" t="s">
        <v>285</v>
      </c>
      <c r="F81" s="223">
        <v>8.35</v>
      </c>
      <c r="G81" s="659"/>
      <c r="H81" s="335">
        <f t="shared" si="1"/>
        <v>1964</v>
      </c>
      <c r="I81" s="534">
        <v>1964</v>
      </c>
      <c r="J81" s="192"/>
      <c r="K81" s="11"/>
      <c r="L81" s="11"/>
      <c r="M81" s="11"/>
      <c r="N81" s="11"/>
      <c r="O81" s="11"/>
      <c r="P81" s="11"/>
      <c r="Q81" s="11"/>
    </row>
    <row r="82" spans="1:17" ht="41.25" customHeight="1">
      <c r="A82" s="666"/>
      <c r="B82" s="669" t="s">
        <v>458</v>
      </c>
      <c r="C82" s="670"/>
      <c r="D82" s="336" t="s">
        <v>44</v>
      </c>
      <c r="E82" s="223" t="s">
        <v>285</v>
      </c>
      <c r="F82" s="223">
        <v>8.65</v>
      </c>
      <c r="G82" s="659"/>
      <c r="H82" s="335">
        <f t="shared" si="1"/>
        <v>1683</v>
      </c>
      <c r="I82" s="534">
        <v>1683</v>
      </c>
      <c r="J82" s="192"/>
      <c r="K82" s="11"/>
      <c r="L82" s="11"/>
      <c r="M82" s="11"/>
      <c r="N82" s="11"/>
      <c r="O82" s="11"/>
      <c r="P82" s="11"/>
      <c r="Q82" s="11"/>
    </row>
    <row r="83" spans="1:17" ht="42" customHeight="1">
      <c r="A83" s="667"/>
      <c r="B83" s="669" t="s">
        <v>459</v>
      </c>
      <c r="C83" s="670"/>
      <c r="D83" s="336" t="s">
        <v>44</v>
      </c>
      <c r="E83" s="223" t="s">
        <v>285</v>
      </c>
      <c r="F83" s="223">
        <v>11.8</v>
      </c>
      <c r="G83" s="660"/>
      <c r="H83" s="335">
        <f t="shared" si="1"/>
        <v>2343</v>
      </c>
      <c r="I83" s="534">
        <v>2343</v>
      </c>
      <c r="J83" s="192"/>
      <c r="K83" s="11"/>
      <c r="L83" s="11"/>
      <c r="M83" s="11"/>
      <c r="N83" s="11"/>
      <c r="O83" s="11"/>
      <c r="P83" s="11"/>
      <c r="Q83" s="11"/>
    </row>
    <row r="84" spans="1:17" ht="63" customHeight="1">
      <c r="A84" s="397"/>
      <c r="B84" s="669" t="s">
        <v>460</v>
      </c>
      <c r="C84" s="670"/>
      <c r="D84" s="400" t="s">
        <v>44</v>
      </c>
      <c r="E84" s="401"/>
      <c r="F84" s="401">
        <v>9.6</v>
      </c>
      <c r="G84" s="395" t="s">
        <v>36</v>
      </c>
      <c r="H84" s="396">
        <f t="shared" si="1"/>
        <v>5495</v>
      </c>
      <c r="I84" s="534">
        <v>5495</v>
      </c>
      <c r="J84" s="192"/>
      <c r="K84" s="11"/>
      <c r="L84" s="11"/>
      <c r="M84" s="11"/>
      <c r="N84" s="11"/>
      <c r="O84" s="11"/>
      <c r="P84" s="11"/>
      <c r="Q84" s="11"/>
    </row>
    <row r="85" spans="1:17">
      <c r="A85" s="699"/>
      <c r="B85" s="700" t="s">
        <v>37</v>
      </c>
      <c r="C85" s="701"/>
      <c r="D85" s="709" t="s">
        <v>135</v>
      </c>
      <c r="E85" s="709"/>
      <c r="F85" s="709"/>
      <c r="G85" s="709" t="s">
        <v>36</v>
      </c>
      <c r="H85" s="213">
        <f t="shared" si="1"/>
        <v>977</v>
      </c>
      <c r="I85" s="534">
        <v>977</v>
      </c>
      <c r="J85" s="192"/>
      <c r="K85" s="11"/>
      <c r="L85" s="11"/>
      <c r="M85" s="11"/>
      <c r="N85" s="11"/>
      <c r="O85" s="11"/>
      <c r="P85" s="11"/>
      <c r="Q85" s="11"/>
    </row>
    <row r="86" spans="1:17">
      <c r="A86" s="699"/>
      <c r="B86" s="712" t="s">
        <v>38</v>
      </c>
      <c r="C86" s="713"/>
      <c r="D86" s="710" t="s">
        <v>35</v>
      </c>
      <c r="E86" s="710"/>
      <c r="F86" s="710"/>
      <c r="G86" s="710"/>
      <c r="H86" s="214">
        <f t="shared" si="1"/>
        <v>1465</v>
      </c>
      <c r="I86" s="534">
        <v>1465</v>
      </c>
      <c r="J86" s="192"/>
      <c r="K86" s="11"/>
      <c r="L86" s="11"/>
      <c r="M86" s="11"/>
      <c r="N86" s="11"/>
      <c r="O86" s="11"/>
      <c r="P86" s="11"/>
      <c r="Q86" s="11"/>
    </row>
    <row r="87" spans="1:17">
      <c r="A87" s="699"/>
      <c r="B87" s="712" t="s">
        <v>39</v>
      </c>
      <c r="C87" s="713"/>
      <c r="D87" s="710" t="s">
        <v>35</v>
      </c>
      <c r="E87" s="710"/>
      <c r="F87" s="710"/>
      <c r="G87" s="710"/>
      <c r="H87" s="214">
        <f t="shared" si="1"/>
        <v>1169</v>
      </c>
      <c r="I87" s="534">
        <v>1169</v>
      </c>
      <c r="J87" s="192"/>
      <c r="K87" s="11"/>
      <c r="L87" s="11"/>
      <c r="M87" s="11"/>
      <c r="N87" s="11"/>
      <c r="O87" s="11"/>
      <c r="P87" s="11"/>
      <c r="Q87" s="11"/>
    </row>
    <row r="88" spans="1:17">
      <c r="A88" s="699"/>
      <c r="B88" s="712" t="s">
        <v>40</v>
      </c>
      <c r="C88" s="713"/>
      <c r="D88" s="710" t="s">
        <v>35</v>
      </c>
      <c r="E88" s="710"/>
      <c r="F88" s="710"/>
      <c r="G88" s="710"/>
      <c r="H88" s="214">
        <f t="shared" si="1"/>
        <v>1837</v>
      </c>
      <c r="I88" s="534">
        <v>1837</v>
      </c>
      <c r="J88" s="192"/>
      <c r="K88" s="11"/>
      <c r="L88" s="11"/>
      <c r="M88" s="11"/>
      <c r="N88" s="11"/>
      <c r="O88" s="11"/>
      <c r="P88" s="11"/>
      <c r="Q88" s="11"/>
    </row>
    <row r="89" spans="1:17">
      <c r="A89" s="699"/>
      <c r="B89" s="714" t="s">
        <v>41</v>
      </c>
      <c r="C89" s="715"/>
      <c r="D89" s="711" t="s">
        <v>35</v>
      </c>
      <c r="E89" s="711"/>
      <c r="F89" s="711"/>
      <c r="G89" s="711"/>
      <c r="H89" s="215">
        <f t="shared" si="1"/>
        <v>1832</v>
      </c>
      <c r="I89" s="534">
        <v>1832</v>
      </c>
      <c r="J89" s="192"/>
      <c r="K89" s="11"/>
      <c r="L89" s="11"/>
      <c r="M89" s="11"/>
      <c r="N89" s="11"/>
      <c r="O89" s="11"/>
      <c r="P89" s="11"/>
      <c r="Q89" s="11"/>
    </row>
    <row r="90" spans="1:17">
      <c r="A90" s="699"/>
      <c r="B90" s="700" t="s">
        <v>136</v>
      </c>
      <c r="C90" s="701"/>
      <c r="D90" s="709" t="s">
        <v>35</v>
      </c>
      <c r="E90" s="709"/>
      <c r="F90" s="709"/>
      <c r="G90" s="709" t="s">
        <v>36</v>
      </c>
      <c r="H90" s="213">
        <f t="shared" si="1"/>
        <v>1714</v>
      </c>
      <c r="I90" s="534">
        <v>1714</v>
      </c>
      <c r="J90" s="192"/>
      <c r="K90" s="11"/>
      <c r="L90" s="11"/>
      <c r="M90" s="11"/>
      <c r="N90" s="11"/>
      <c r="O90" s="11"/>
      <c r="P90" s="11"/>
      <c r="Q90" s="11"/>
    </row>
    <row r="91" spans="1:17">
      <c r="A91" s="699"/>
      <c r="B91" s="712" t="s">
        <v>281</v>
      </c>
      <c r="C91" s="713"/>
      <c r="D91" s="710"/>
      <c r="E91" s="710"/>
      <c r="F91" s="710"/>
      <c r="G91" s="710"/>
      <c r="H91" s="214">
        <f t="shared" si="1"/>
        <v>1976</v>
      </c>
      <c r="I91" s="534">
        <v>1976</v>
      </c>
      <c r="J91" s="192"/>
      <c r="K91" s="11"/>
      <c r="L91" s="11"/>
      <c r="M91" s="11"/>
      <c r="N91" s="11"/>
      <c r="O91" s="11"/>
      <c r="P91" s="11"/>
      <c r="Q91" s="11"/>
    </row>
    <row r="92" spans="1:17">
      <c r="A92" s="699"/>
      <c r="B92" s="714" t="s">
        <v>7</v>
      </c>
      <c r="C92" s="715"/>
      <c r="D92" s="711"/>
      <c r="E92" s="711"/>
      <c r="F92" s="711"/>
      <c r="G92" s="711"/>
      <c r="H92" s="215">
        <f t="shared" si="1"/>
        <v>2725</v>
      </c>
      <c r="I92" s="534">
        <v>2725</v>
      </c>
      <c r="J92" s="192"/>
      <c r="K92" s="11"/>
      <c r="L92" s="11"/>
      <c r="M92" s="11"/>
      <c r="N92" s="11"/>
      <c r="O92" s="11"/>
      <c r="P92" s="11"/>
      <c r="Q92" s="11"/>
    </row>
    <row r="93" spans="1:17" ht="53.25" customHeight="1">
      <c r="A93" s="664"/>
      <c r="B93" s="669" t="s">
        <v>401</v>
      </c>
      <c r="C93" s="670"/>
      <c r="D93" s="702" t="s">
        <v>134</v>
      </c>
      <c r="E93" s="703"/>
      <c r="F93" s="704"/>
      <c r="G93" s="325" t="s">
        <v>36</v>
      </c>
      <c r="H93" s="216">
        <f t="shared" si="1"/>
        <v>2325</v>
      </c>
      <c r="I93" s="534">
        <v>2325</v>
      </c>
      <c r="J93" s="192"/>
      <c r="K93" s="11"/>
      <c r="L93" s="11"/>
      <c r="M93" s="11"/>
      <c r="N93" s="11"/>
      <c r="O93" s="11"/>
      <c r="P93" s="11"/>
      <c r="Q93" s="11"/>
    </row>
    <row r="94" spans="1:17" ht="47.25" customHeight="1">
      <c r="A94" s="665"/>
      <c r="B94" s="669" t="s">
        <v>402</v>
      </c>
      <c r="C94" s="670"/>
      <c r="D94" s="702" t="s">
        <v>134</v>
      </c>
      <c r="E94" s="703"/>
      <c r="F94" s="704"/>
      <c r="G94" s="325" t="s">
        <v>36</v>
      </c>
      <c r="H94" s="216">
        <f t="shared" si="1"/>
        <v>743</v>
      </c>
      <c r="I94" s="534">
        <v>743</v>
      </c>
      <c r="J94" s="192"/>
      <c r="K94" s="11"/>
      <c r="L94" s="11"/>
      <c r="M94" s="11"/>
      <c r="N94" s="11"/>
      <c r="O94" s="11"/>
      <c r="P94" s="11"/>
      <c r="Q94" s="11"/>
    </row>
    <row r="95" spans="1:17" ht="57.75" customHeight="1">
      <c r="A95" s="14"/>
      <c r="B95" s="671" t="s">
        <v>3</v>
      </c>
      <c r="C95" s="672"/>
      <c r="D95" s="21" t="s">
        <v>44</v>
      </c>
      <c r="E95" s="434" t="s">
        <v>5</v>
      </c>
      <c r="F95" s="21" t="s">
        <v>6</v>
      </c>
      <c r="G95" s="247" t="s">
        <v>152</v>
      </c>
      <c r="H95" s="211">
        <f t="shared" si="1"/>
        <v>255</v>
      </c>
      <c r="I95" s="534">
        <v>255</v>
      </c>
      <c r="J95" s="192"/>
      <c r="K95" s="11"/>
      <c r="L95" s="11"/>
      <c r="M95" s="11"/>
      <c r="N95" s="11"/>
      <c r="O95" s="11"/>
      <c r="P95" s="11"/>
      <c r="Q95" s="11"/>
    </row>
    <row r="96" spans="1:17" ht="57.75" customHeight="1">
      <c r="A96" s="14"/>
      <c r="B96" s="631" t="s">
        <v>508</v>
      </c>
      <c r="C96" s="631"/>
      <c r="D96" s="21" t="s">
        <v>153</v>
      </c>
      <c r="E96" s="249" t="s">
        <v>44</v>
      </c>
      <c r="F96" s="170">
        <v>2</v>
      </c>
      <c r="G96" s="247" t="s">
        <v>152</v>
      </c>
      <c r="H96" s="212">
        <f t="shared" si="1"/>
        <v>26000</v>
      </c>
      <c r="I96" s="534">
        <v>26000</v>
      </c>
      <c r="J96" s="192"/>
      <c r="K96" s="11"/>
      <c r="L96" s="11"/>
      <c r="M96" s="11"/>
      <c r="N96" s="11"/>
      <c r="O96" s="11"/>
      <c r="P96" s="11"/>
      <c r="Q96" s="11"/>
    </row>
    <row r="97" spans="1:18">
      <c r="A97" s="168" t="s">
        <v>301</v>
      </c>
      <c r="B97" s="11"/>
      <c r="C97" s="11"/>
      <c r="D97" s="11"/>
      <c r="E97" s="11"/>
      <c r="F97" s="11"/>
      <c r="G97" s="11"/>
      <c r="H97" s="11"/>
      <c r="I97" s="531"/>
      <c r="J97" s="192"/>
      <c r="K97" s="11"/>
      <c r="L97" s="11"/>
      <c r="M97" s="11"/>
      <c r="N97" s="11"/>
      <c r="O97" s="11"/>
      <c r="P97" s="11"/>
      <c r="Q97" s="11"/>
      <c r="R97" s="11"/>
    </row>
    <row r="98" spans="1:18">
      <c r="A98" s="114" t="s">
        <v>10</v>
      </c>
      <c r="B98" s="95"/>
      <c r="C98" s="95"/>
      <c r="D98" s="95"/>
      <c r="E98" s="95"/>
      <c r="F98" s="95"/>
      <c r="G98" s="95"/>
      <c r="H98" s="95"/>
      <c r="I98" s="531"/>
      <c r="J98" s="192"/>
      <c r="K98" s="11"/>
      <c r="L98" s="11"/>
      <c r="M98" s="11"/>
      <c r="N98" s="11"/>
      <c r="O98" s="11"/>
      <c r="P98" s="11"/>
      <c r="Q98" s="11"/>
      <c r="R98" s="11"/>
    </row>
    <row r="99" spans="1:18">
      <c r="A99" s="114" t="s">
        <v>11</v>
      </c>
      <c r="B99" s="95"/>
      <c r="C99" s="95"/>
      <c r="D99" s="95"/>
      <c r="E99" s="95"/>
      <c r="F99" s="95"/>
      <c r="G99" s="95"/>
      <c r="H99" s="95"/>
      <c r="I99" s="531"/>
      <c r="J99" s="192"/>
      <c r="K99" s="11"/>
      <c r="L99" s="11"/>
      <c r="M99" s="11"/>
      <c r="N99" s="11"/>
      <c r="O99" s="11"/>
      <c r="P99" s="11"/>
      <c r="Q99" s="11"/>
      <c r="R99" s="11"/>
    </row>
    <row r="100" spans="1:18" ht="20.25" customHeight="1">
      <c r="A100" s="114" t="s">
        <v>302</v>
      </c>
      <c r="B100" s="95"/>
      <c r="C100" s="95"/>
      <c r="D100" s="95"/>
      <c r="E100" s="95"/>
      <c r="F100" s="95"/>
      <c r="G100" s="95"/>
      <c r="H100" s="95"/>
      <c r="I100" s="532"/>
      <c r="J100" s="192"/>
      <c r="K100" s="11"/>
      <c r="L100" s="11"/>
      <c r="M100" s="11"/>
      <c r="N100" s="11"/>
      <c r="O100" s="11"/>
      <c r="P100" s="11"/>
      <c r="Q100" s="11"/>
      <c r="R100" s="11"/>
    </row>
    <row r="101" spans="1:18" ht="20.25" customHeight="1">
      <c r="A101" s="114" t="s">
        <v>497</v>
      </c>
      <c r="B101" s="95"/>
      <c r="C101" s="95"/>
      <c r="D101" s="95"/>
      <c r="E101" s="95"/>
      <c r="F101" s="95"/>
      <c r="G101" s="95"/>
      <c r="H101" s="95"/>
      <c r="I101" s="532"/>
      <c r="J101" s="192"/>
      <c r="K101" s="11"/>
      <c r="L101" s="11"/>
      <c r="M101" s="11"/>
      <c r="N101" s="11"/>
      <c r="O101" s="11"/>
      <c r="P101" s="11"/>
      <c r="Q101" s="11"/>
      <c r="R101" s="11"/>
    </row>
    <row r="102" spans="1:18" ht="20.25" customHeight="1">
      <c r="A102" s="114" t="s">
        <v>196</v>
      </c>
      <c r="B102" s="95"/>
      <c r="C102" s="95"/>
      <c r="D102" s="95"/>
      <c r="E102" s="95"/>
      <c r="F102" s="95"/>
      <c r="G102" s="95"/>
      <c r="H102" s="95"/>
      <c r="I102" s="532"/>
      <c r="J102" s="192"/>
      <c r="K102" s="11"/>
      <c r="L102" s="11"/>
      <c r="M102" s="11"/>
      <c r="N102" s="11"/>
      <c r="O102" s="11"/>
      <c r="P102" s="11"/>
      <c r="Q102" s="11"/>
      <c r="R102" s="11"/>
    </row>
    <row r="103" spans="1:18" ht="20.25" customHeight="1">
      <c r="A103" s="44" t="s">
        <v>413</v>
      </c>
      <c r="B103" s="328"/>
      <c r="C103" s="328"/>
      <c r="D103" s="328"/>
      <c r="E103" s="328"/>
      <c r="F103" s="328"/>
      <c r="G103" s="328"/>
      <c r="H103" s="328"/>
      <c r="I103" s="532"/>
      <c r="J103" s="192"/>
      <c r="K103" s="11"/>
      <c r="L103" s="11"/>
      <c r="M103" s="11"/>
      <c r="N103" s="11"/>
      <c r="O103" s="11"/>
      <c r="P103" s="11"/>
      <c r="Q103" s="11"/>
      <c r="R103" s="11"/>
    </row>
    <row r="104" spans="1:18" ht="20.25" customHeight="1">
      <c r="A104" s="44" t="s">
        <v>414</v>
      </c>
      <c r="B104" s="116"/>
      <c r="C104" s="116"/>
      <c r="D104" s="116"/>
      <c r="E104" s="116"/>
      <c r="F104" s="116"/>
      <c r="G104" s="116"/>
      <c r="H104" s="116"/>
      <c r="I104" s="532"/>
      <c r="J104" s="192"/>
      <c r="K104" s="11"/>
      <c r="L104" s="11"/>
      <c r="M104" s="11"/>
      <c r="N104" s="11"/>
      <c r="O104" s="11"/>
      <c r="P104" s="11"/>
      <c r="Q104" s="11"/>
      <c r="R104" s="11"/>
    </row>
    <row r="105" spans="1:18">
      <c r="A105" s="115" t="s">
        <v>80</v>
      </c>
      <c r="B105" s="114"/>
      <c r="C105" s="114"/>
      <c r="D105" s="114"/>
      <c r="F105" s="114"/>
      <c r="G105" s="114"/>
      <c r="H105" s="114"/>
      <c r="I105" s="532"/>
      <c r="J105" s="192"/>
      <c r="K105" s="95"/>
      <c r="L105" s="95"/>
      <c r="M105" s="95"/>
      <c r="N105" s="95"/>
      <c r="O105" s="95"/>
      <c r="P105" s="95"/>
      <c r="Q105" s="11"/>
      <c r="R105" s="11"/>
    </row>
    <row r="106" spans="1:18" ht="20.25" customHeight="1">
      <c r="A106" s="114" t="s">
        <v>580</v>
      </c>
      <c r="I106" s="533"/>
      <c r="J106" s="192"/>
      <c r="K106" s="11"/>
      <c r="L106" s="11"/>
      <c r="M106" s="11"/>
      <c r="N106" s="11"/>
      <c r="O106" s="11"/>
      <c r="P106" s="11"/>
      <c r="Q106" s="11"/>
      <c r="R106" s="11"/>
    </row>
    <row r="107" spans="1:18">
      <c r="A107" s="11"/>
      <c r="B107" s="11"/>
      <c r="C107" s="11"/>
      <c r="D107" s="11"/>
      <c r="E107" s="11"/>
      <c r="F107" s="11"/>
      <c r="G107" s="11"/>
      <c r="H107" s="11"/>
      <c r="I107" s="531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8" ht="33">
      <c r="A108" s="593" t="s">
        <v>62</v>
      </c>
      <c r="B108" s="260">
        <v>0</v>
      </c>
      <c r="C108" s="11"/>
      <c r="D108" s="11"/>
      <c r="E108" s="11"/>
      <c r="F108" s="11"/>
      <c r="G108" s="11"/>
      <c r="H108" s="11"/>
      <c r="I108" s="531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8">
      <c r="A109" s="35"/>
      <c r="B109" s="11"/>
      <c r="C109" s="11"/>
      <c r="D109" s="11"/>
      <c r="E109" s="11"/>
      <c r="F109" s="11"/>
      <c r="G109" s="11"/>
      <c r="H109" s="11"/>
      <c r="I109" s="531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8">
      <c r="A110" s="33"/>
      <c r="B110" s="33"/>
      <c r="C110" s="33"/>
      <c r="D110" s="33"/>
      <c r="E110" s="33"/>
      <c r="F110" s="33"/>
      <c r="G110" s="33"/>
      <c r="H110" s="33"/>
      <c r="I110" s="316"/>
      <c r="J110" s="33"/>
      <c r="K110" s="33"/>
      <c r="L110" s="33"/>
      <c r="M110" s="33"/>
      <c r="N110" s="33"/>
      <c r="O110" s="33"/>
      <c r="P110" s="33"/>
      <c r="Q110" s="33"/>
      <c r="R110" s="34"/>
    </row>
    <row r="111" spans="1:18">
      <c r="A111" s="33"/>
      <c r="B111" s="33"/>
      <c r="C111" s="33"/>
      <c r="D111" s="33"/>
      <c r="E111" s="33"/>
      <c r="F111" s="33"/>
      <c r="G111" s="33"/>
      <c r="H111" s="33"/>
      <c r="I111" s="316"/>
      <c r="J111" s="33"/>
      <c r="K111" s="33"/>
      <c r="L111" s="33"/>
      <c r="M111" s="33"/>
      <c r="N111" s="33"/>
      <c r="O111" s="33"/>
      <c r="P111" s="33"/>
      <c r="Q111" s="33"/>
      <c r="R111" s="34"/>
    </row>
    <row r="112" spans="1:18" ht="14.25" customHeight="1">
      <c r="A112" s="33"/>
      <c r="B112" s="33"/>
      <c r="C112" s="33"/>
      <c r="D112" s="33"/>
      <c r="E112" s="33"/>
      <c r="F112" s="33"/>
      <c r="G112" s="33"/>
      <c r="H112" s="33"/>
      <c r="I112" s="316"/>
      <c r="J112" s="33"/>
      <c r="K112" s="33"/>
      <c r="L112" s="33"/>
      <c r="M112" s="33"/>
      <c r="N112" s="33"/>
      <c r="O112" s="33"/>
      <c r="P112" s="33"/>
      <c r="Q112" s="33"/>
      <c r="R112" s="11"/>
    </row>
    <row r="113" spans="1:18">
      <c r="A113" s="11"/>
      <c r="B113" s="11"/>
      <c r="C113" s="11"/>
      <c r="D113" s="11"/>
      <c r="E113" s="11"/>
      <c r="F113" s="11"/>
      <c r="G113" s="11"/>
      <c r="H113" s="11"/>
      <c r="I113" s="531"/>
      <c r="J113" s="11"/>
      <c r="K113" s="11"/>
      <c r="L113" s="11"/>
      <c r="M113" s="11"/>
      <c r="N113" s="11"/>
      <c r="O113" s="11"/>
      <c r="P113" s="11"/>
      <c r="Q113" s="11"/>
      <c r="R113" s="11"/>
    </row>
  </sheetData>
  <mergeCells count="97">
    <mergeCell ref="G90:G92"/>
    <mergeCell ref="B91:C91"/>
    <mergeCell ref="B92:C92"/>
    <mergeCell ref="A85:A89"/>
    <mergeCell ref="B85:C85"/>
    <mergeCell ref="D85:F85"/>
    <mergeCell ref="G85:G89"/>
    <mergeCell ref="B86:C86"/>
    <mergeCell ref="D86:F86"/>
    <mergeCell ref="B87:C87"/>
    <mergeCell ref="D87:F87"/>
    <mergeCell ref="B88:C88"/>
    <mergeCell ref="D88:F88"/>
    <mergeCell ref="B89:C89"/>
    <mergeCell ref="D89:F89"/>
    <mergeCell ref="D90:F92"/>
    <mergeCell ref="D94:F94"/>
    <mergeCell ref="B93:C93"/>
    <mergeCell ref="D93:F93"/>
    <mergeCell ref="B68:C68"/>
    <mergeCell ref="D77:F78"/>
    <mergeCell ref="B79:C79"/>
    <mergeCell ref="D79:F79"/>
    <mergeCell ref="B95:C95"/>
    <mergeCell ref="B96:C96"/>
    <mergeCell ref="A90:A92"/>
    <mergeCell ref="B90:C90"/>
    <mergeCell ref="B84:C84"/>
    <mergeCell ref="B94:C94"/>
    <mergeCell ref="G80:G83"/>
    <mergeCell ref="B76:C76"/>
    <mergeCell ref="H53:H54"/>
    <mergeCell ref="B55:C55"/>
    <mergeCell ref="B56:C56"/>
    <mergeCell ref="B58:C58"/>
    <mergeCell ref="B59:C59"/>
    <mergeCell ref="G53:G54"/>
    <mergeCell ref="B60:C60"/>
    <mergeCell ref="B63:C63"/>
    <mergeCell ref="B64:C64"/>
    <mergeCell ref="B65:C65"/>
    <mergeCell ref="B66:C66"/>
    <mergeCell ref="B62:C62"/>
    <mergeCell ref="B67:C67"/>
    <mergeCell ref="B71:C71"/>
    <mergeCell ref="F53:F54"/>
    <mergeCell ref="A47:A50"/>
    <mergeCell ref="B47:B48"/>
    <mergeCell ref="G47:G50"/>
    <mergeCell ref="B49:B50"/>
    <mergeCell ref="D51:D52"/>
    <mergeCell ref="A53:A54"/>
    <mergeCell ref="B53:C54"/>
    <mergeCell ref="D53:D54"/>
    <mergeCell ref="A1:H8"/>
    <mergeCell ref="B80:C80"/>
    <mergeCell ref="B81:C81"/>
    <mergeCell ref="B82:C82"/>
    <mergeCell ref="B11:C11"/>
    <mergeCell ref="B12:B24"/>
    <mergeCell ref="C12:C22"/>
    <mergeCell ref="G12:G22"/>
    <mergeCell ref="C23:C24"/>
    <mergeCell ref="G23:G24"/>
    <mergeCell ref="C30:C40"/>
    <mergeCell ref="C45:C46"/>
    <mergeCell ref="A80:A81"/>
    <mergeCell ref="B69:C69"/>
    <mergeCell ref="G45:G46"/>
    <mergeCell ref="E53:E54"/>
    <mergeCell ref="A12:A46"/>
    <mergeCell ref="A51:A52"/>
    <mergeCell ref="B51:B52"/>
    <mergeCell ref="C51:C52"/>
    <mergeCell ref="A9:H9"/>
    <mergeCell ref="C41:C42"/>
    <mergeCell ref="G41:G44"/>
    <mergeCell ref="C25:C27"/>
    <mergeCell ref="B25:B46"/>
    <mergeCell ref="G25:G27"/>
    <mergeCell ref="C28:C29"/>
    <mergeCell ref="G28:G29"/>
    <mergeCell ref="G30:G40"/>
    <mergeCell ref="C43:C44"/>
    <mergeCell ref="B57:C57"/>
    <mergeCell ref="A93:A94"/>
    <mergeCell ref="A82:A83"/>
    <mergeCell ref="B61:C61"/>
    <mergeCell ref="A69:A70"/>
    <mergeCell ref="A77:A78"/>
    <mergeCell ref="B77:B78"/>
    <mergeCell ref="B75:C75"/>
    <mergeCell ref="B83:C83"/>
    <mergeCell ref="B70:C70"/>
    <mergeCell ref="B72:C72"/>
    <mergeCell ref="B73:C73"/>
    <mergeCell ref="B74:C74"/>
  </mergeCells>
  <printOptions horizontalCentered="1"/>
  <pageMargins left="0" right="0" top="0" bottom="0" header="0" footer="0"/>
  <pageSetup paperSize="9" scale="26" orientation="portrait" r:id="rId1"/>
  <headerFooter alignWithMargins="0">
    <oddFooter>&amp;R&amp;24Стр. &amp;P из  &amp;N
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6"/>
  <dimension ref="A1:R79"/>
  <sheetViews>
    <sheetView showGridLines="0" topLeftCell="A52" zoomScale="50" zoomScaleNormal="50" zoomScaleSheetLayoutView="10" workbookViewId="0">
      <selection activeCell="K74" sqref="K74"/>
    </sheetView>
  </sheetViews>
  <sheetFormatPr defaultColWidth="9.109375" defaultRowHeight="13.2"/>
  <cols>
    <col min="1" max="1" width="24.6640625" style="1" customWidth="1"/>
    <col min="2" max="2" width="27.88671875" style="1" customWidth="1"/>
    <col min="3" max="3" width="26.88671875" style="1" customWidth="1"/>
    <col min="4" max="4" width="19.6640625" style="1" customWidth="1"/>
    <col min="5" max="6" width="15.33203125" style="1" customWidth="1"/>
    <col min="7" max="7" width="29" style="6" customWidth="1"/>
    <col min="8" max="8" width="19.109375" style="1" customWidth="1"/>
    <col min="9" max="16" width="8.88671875" style="1" customWidth="1"/>
    <col min="17" max="17" width="11.6640625" style="1" hidden="1" customWidth="1"/>
    <col min="18" max="16384" width="9.109375" style="1"/>
  </cols>
  <sheetData>
    <row r="1" spans="1:17">
      <c r="A1" s="614"/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</row>
    <row r="2" spans="1:17">
      <c r="A2" s="614"/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</row>
    <row r="3" spans="1:17">
      <c r="A3" s="614"/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</row>
    <row r="4" spans="1:17">
      <c r="A4" s="614"/>
      <c r="B4" s="614"/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</row>
    <row r="5" spans="1:17">
      <c r="A5" s="614"/>
      <c r="B5" s="614"/>
      <c r="C5" s="614"/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</row>
    <row r="6" spans="1:17">
      <c r="A6" s="614"/>
      <c r="B6" s="614"/>
      <c r="C6" s="614"/>
      <c r="D6" s="614"/>
      <c r="E6" s="614"/>
      <c r="F6" s="614"/>
      <c r="G6" s="614"/>
      <c r="H6" s="614"/>
      <c r="I6" s="614"/>
      <c r="J6" s="614"/>
      <c r="K6" s="614"/>
      <c r="L6" s="614"/>
      <c r="M6" s="614"/>
      <c r="N6" s="614"/>
      <c r="O6" s="614"/>
      <c r="P6" s="614"/>
    </row>
    <row r="7" spans="1:17">
      <c r="A7" s="614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  <c r="P7" s="614"/>
    </row>
    <row r="8" spans="1:17">
      <c r="A8" s="614"/>
      <c r="B8" s="614"/>
      <c r="C8" s="614"/>
      <c r="D8" s="614"/>
      <c r="E8" s="614"/>
      <c r="F8" s="614"/>
      <c r="G8" s="614"/>
      <c r="H8" s="614"/>
      <c r="I8" s="614"/>
      <c r="J8" s="614"/>
      <c r="K8" s="614"/>
      <c r="L8" s="614"/>
      <c r="M8" s="614"/>
      <c r="N8" s="614"/>
      <c r="O8" s="614"/>
      <c r="P8" s="614"/>
    </row>
    <row r="9" spans="1:17" ht="10.5" customHeight="1" thickBot="1">
      <c r="A9" s="615"/>
      <c r="B9" s="615"/>
      <c r="C9" s="615"/>
      <c r="D9" s="615"/>
      <c r="E9" s="615"/>
      <c r="F9" s="615"/>
      <c r="G9" s="615"/>
      <c r="H9" s="615"/>
      <c r="I9" s="615"/>
      <c r="J9" s="615"/>
      <c r="K9" s="615"/>
      <c r="L9" s="615"/>
      <c r="M9" s="615"/>
      <c r="N9" s="615"/>
      <c r="O9" s="615"/>
      <c r="P9" s="615"/>
    </row>
    <row r="10" spans="1:17" ht="28.2">
      <c r="A10" s="831" t="s">
        <v>426</v>
      </c>
      <c r="B10" s="831"/>
      <c r="C10" s="831"/>
      <c r="D10" s="831"/>
      <c r="E10" s="831"/>
      <c r="F10" s="831"/>
      <c r="G10" s="831"/>
      <c r="H10" s="831"/>
      <c r="I10" s="831"/>
      <c r="J10" s="831"/>
      <c r="K10" s="831"/>
      <c r="L10" s="831"/>
      <c r="M10" s="831"/>
      <c r="N10" s="831"/>
      <c r="O10" s="831"/>
      <c r="P10" s="831"/>
      <c r="Q10" s="84"/>
    </row>
    <row r="11" spans="1:17" ht="20.25" customHeight="1">
      <c r="A11" s="11"/>
      <c r="B11" s="11"/>
      <c r="C11" s="11"/>
      <c r="D11" s="11"/>
      <c r="E11" s="48"/>
      <c r="F11" s="179"/>
      <c r="G11" s="179"/>
      <c r="H11" s="179"/>
      <c r="K11" s="196" t="s">
        <v>319</v>
      </c>
      <c r="L11" s="196"/>
      <c r="M11" s="196"/>
      <c r="N11" s="196"/>
      <c r="O11" s="838">
        <v>42464</v>
      </c>
      <c r="P11" s="838"/>
      <c r="Q11" s="11"/>
    </row>
    <row r="12" spans="1:17" ht="81" customHeight="1">
      <c r="A12" s="765" t="s">
        <v>184</v>
      </c>
      <c r="B12" s="765" t="s">
        <v>164</v>
      </c>
      <c r="C12" s="765" t="s">
        <v>252</v>
      </c>
      <c r="D12" s="765" t="s">
        <v>0</v>
      </c>
      <c r="E12" s="765"/>
      <c r="F12" s="765"/>
      <c r="G12" s="765"/>
      <c r="H12" s="765"/>
      <c r="I12" s="765" t="s">
        <v>1</v>
      </c>
      <c r="J12" s="765"/>
      <c r="K12" s="765"/>
      <c r="L12" s="765"/>
      <c r="M12" s="765"/>
      <c r="N12" s="765"/>
      <c r="O12" s="765"/>
      <c r="P12" s="765"/>
      <c r="Q12" s="11"/>
    </row>
    <row r="13" spans="1:17" ht="20.25" customHeight="1">
      <c r="A13" s="765"/>
      <c r="B13" s="765"/>
      <c r="C13" s="765"/>
      <c r="D13" s="765"/>
      <c r="E13" s="765"/>
      <c r="F13" s="765"/>
      <c r="G13" s="765"/>
      <c r="H13" s="765"/>
      <c r="I13" s="765" t="s">
        <v>204</v>
      </c>
      <c r="J13" s="765"/>
      <c r="K13" s="765"/>
      <c r="L13" s="765"/>
      <c r="M13" s="765"/>
      <c r="N13" s="765"/>
      <c r="O13" s="765"/>
      <c r="P13" s="765"/>
      <c r="Q13" s="11"/>
    </row>
    <row r="14" spans="1:17" ht="20.25" customHeight="1">
      <c r="A14" s="777"/>
      <c r="B14" s="736" t="s">
        <v>172</v>
      </c>
      <c r="C14" s="787">
        <v>2</v>
      </c>
      <c r="D14" s="786" t="s">
        <v>416</v>
      </c>
      <c r="E14" s="786"/>
      <c r="F14" s="786"/>
      <c r="G14" s="786"/>
      <c r="H14" s="786"/>
      <c r="I14" s="734" t="s">
        <v>125</v>
      </c>
      <c r="J14" s="735"/>
      <c r="K14" s="735"/>
      <c r="L14" s="735"/>
      <c r="M14" s="735" t="s">
        <v>131</v>
      </c>
      <c r="N14" s="735"/>
      <c r="O14" s="735"/>
      <c r="P14" s="790"/>
      <c r="Q14" s="11"/>
    </row>
    <row r="15" spans="1:17" ht="20.25" customHeight="1">
      <c r="A15" s="777"/>
      <c r="B15" s="736"/>
      <c r="C15" s="788"/>
      <c r="D15" s="786"/>
      <c r="E15" s="786"/>
      <c r="F15" s="786"/>
      <c r="G15" s="786"/>
      <c r="H15" s="786"/>
      <c r="I15" s="756" t="s">
        <v>117</v>
      </c>
      <c r="J15" s="757"/>
      <c r="K15" s="757"/>
      <c r="L15" s="757"/>
      <c r="M15" s="757"/>
      <c r="N15" s="757"/>
      <c r="O15" s="757"/>
      <c r="P15" s="758"/>
      <c r="Q15" s="11"/>
    </row>
    <row r="16" spans="1:17" ht="20.25" customHeight="1">
      <c r="A16" s="777"/>
      <c r="B16" s="736"/>
      <c r="C16" s="788"/>
      <c r="D16" s="786"/>
      <c r="E16" s="786"/>
      <c r="F16" s="786"/>
      <c r="G16" s="786"/>
      <c r="H16" s="786"/>
      <c r="I16" s="760">
        <v>2500</v>
      </c>
      <c r="J16" s="761"/>
      <c r="K16" s="762">
        <v>3000</v>
      </c>
      <c r="L16" s="761"/>
      <c r="M16" s="762">
        <v>2500</v>
      </c>
      <c r="N16" s="761"/>
      <c r="O16" s="762">
        <v>3000</v>
      </c>
      <c r="P16" s="763"/>
      <c r="Q16" s="11"/>
    </row>
    <row r="17" spans="1:18" ht="33.75" customHeight="1">
      <c r="A17" s="777"/>
      <c r="B17" s="736"/>
      <c r="C17" s="789"/>
      <c r="D17" s="786"/>
      <c r="E17" s="786"/>
      <c r="F17" s="786"/>
      <c r="G17" s="786"/>
      <c r="H17" s="786"/>
      <c r="I17" s="740">
        <f>(I31*2+I41+I53*2)/2.5</f>
        <v>530.4</v>
      </c>
      <c r="J17" s="741"/>
      <c r="K17" s="743">
        <f>(I31*2+I43+I53*2)/2.5</f>
        <v>584</v>
      </c>
      <c r="L17" s="759"/>
      <c r="M17" s="743">
        <f>(I33*2+I42+I54*2)/2.5</f>
        <v>798</v>
      </c>
      <c r="N17" s="741"/>
      <c r="O17" s="743">
        <f>(I33*2+I44+I54*2)/2.5</f>
        <v>876</v>
      </c>
      <c r="P17" s="748"/>
      <c r="Q17" s="11"/>
    </row>
    <row r="18" spans="1:18" ht="20.25" customHeight="1">
      <c r="A18" s="768"/>
      <c r="B18" s="769"/>
      <c r="C18" s="769"/>
      <c r="D18" s="769"/>
      <c r="E18" s="769"/>
      <c r="F18" s="769"/>
      <c r="G18" s="769"/>
      <c r="H18" s="770"/>
      <c r="I18" s="793" t="s">
        <v>117</v>
      </c>
      <c r="J18" s="794"/>
      <c r="K18" s="794"/>
      <c r="L18" s="794"/>
      <c r="M18" s="794"/>
      <c r="N18" s="794"/>
      <c r="O18" s="794"/>
      <c r="P18" s="795"/>
      <c r="Q18" s="11"/>
    </row>
    <row r="19" spans="1:18" ht="20.399999999999999">
      <c r="A19" s="771"/>
      <c r="B19" s="772"/>
      <c r="C19" s="772"/>
      <c r="D19" s="772"/>
      <c r="E19" s="772"/>
      <c r="F19" s="772"/>
      <c r="G19" s="772"/>
      <c r="H19" s="773"/>
      <c r="I19" s="751">
        <v>2500</v>
      </c>
      <c r="J19" s="752"/>
      <c r="K19" s="752"/>
      <c r="L19" s="753"/>
      <c r="M19" s="754">
        <v>3000</v>
      </c>
      <c r="N19" s="752"/>
      <c r="O19" s="752"/>
      <c r="P19" s="755"/>
      <c r="Q19" s="11"/>
    </row>
    <row r="20" spans="1:18" ht="41.25" customHeight="1">
      <c r="A20" s="809"/>
      <c r="B20" s="774" t="s">
        <v>173</v>
      </c>
      <c r="C20" s="227">
        <v>1.65</v>
      </c>
      <c r="D20" s="803" t="s">
        <v>415</v>
      </c>
      <c r="E20" s="804"/>
      <c r="F20" s="804"/>
      <c r="G20" s="804"/>
      <c r="H20" s="805"/>
      <c r="I20" s="738">
        <f>(I29*3+I42+I49*2+I55*2)/2.5</f>
        <v>1586</v>
      </c>
      <c r="J20" s="791"/>
      <c r="K20" s="791"/>
      <c r="L20" s="792"/>
      <c r="M20" s="746">
        <f>(I29*3+I44+I49*2+I55*2)/2.5</f>
        <v>1664</v>
      </c>
      <c r="N20" s="791"/>
      <c r="O20" s="791"/>
      <c r="P20" s="796"/>
      <c r="Q20" s="11"/>
    </row>
    <row r="21" spans="1:18" ht="39.75" customHeight="1">
      <c r="A21" s="775"/>
      <c r="B21" s="775"/>
      <c r="C21" s="228">
        <v>2</v>
      </c>
      <c r="D21" s="806"/>
      <c r="E21" s="807"/>
      <c r="F21" s="807"/>
      <c r="G21" s="807"/>
      <c r="H21" s="808"/>
      <c r="I21" s="740">
        <f>(I30*3+I42+I49*2+I55*2)/2.5</f>
        <v>1760</v>
      </c>
      <c r="J21" s="744"/>
      <c r="K21" s="744"/>
      <c r="L21" s="801"/>
      <c r="M21" s="743">
        <f>(I30*3+I44+I49*2+I55*2)/2.5</f>
        <v>1838</v>
      </c>
      <c r="N21" s="744"/>
      <c r="O21" s="744"/>
      <c r="P21" s="745"/>
      <c r="Q21" s="11"/>
      <c r="R21" s="189"/>
    </row>
    <row r="22" spans="1:18" ht="21">
      <c r="A22" s="802"/>
      <c r="B22" s="802"/>
      <c r="C22" s="802"/>
      <c r="D22" s="802"/>
      <c r="E22" s="802"/>
      <c r="F22" s="802"/>
      <c r="G22" s="802"/>
      <c r="H22" s="802"/>
      <c r="I22" s="749" t="s">
        <v>224</v>
      </c>
      <c r="J22" s="749"/>
      <c r="K22" s="749"/>
      <c r="L22" s="749"/>
      <c r="M22" s="749"/>
      <c r="N22" s="749"/>
      <c r="O22" s="749"/>
      <c r="P22" s="750"/>
      <c r="Q22" s="11"/>
    </row>
    <row r="23" spans="1:18" ht="20.399999999999999">
      <c r="A23" s="802"/>
      <c r="B23" s="802"/>
      <c r="C23" s="802"/>
      <c r="D23" s="802"/>
      <c r="E23" s="802"/>
      <c r="F23" s="802"/>
      <c r="G23" s="802"/>
      <c r="H23" s="802"/>
      <c r="I23" s="797">
        <v>2500</v>
      </c>
      <c r="J23" s="797"/>
      <c r="K23" s="797"/>
      <c r="L23" s="798"/>
      <c r="M23" s="799">
        <v>3000</v>
      </c>
      <c r="N23" s="797"/>
      <c r="O23" s="797"/>
      <c r="P23" s="800"/>
      <c r="Q23" s="11"/>
    </row>
    <row r="24" spans="1:18" ht="43.5" customHeight="1">
      <c r="A24" s="737"/>
      <c r="B24" s="742" t="s">
        <v>174</v>
      </c>
      <c r="C24" s="51">
        <v>1.65</v>
      </c>
      <c r="D24" s="776" t="s">
        <v>417</v>
      </c>
      <c r="E24" s="776"/>
      <c r="F24" s="776"/>
      <c r="G24" s="776"/>
      <c r="H24" s="776"/>
      <c r="I24" s="738">
        <f>(I29*3+I49*2+I51*2+I56)/2.5</f>
        <v>1532.4</v>
      </c>
      <c r="J24" s="739"/>
      <c r="K24" s="739"/>
      <c r="L24" s="739"/>
      <c r="M24" s="746">
        <f>(I29*3+I49*2+I52*2+I56)/2.5</f>
        <v>1611.6</v>
      </c>
      <c r="N24" s="739"/>
      <c r="O24" s="739"/>
      <c r="P24" s="747"/>
      <c r="Q24" s="11"/>
    </row>
    <row r="25" spans="1:18" ht="43.5" customHeight="1">
      <c r="A25" s="737"/>
      <c r="B25" s="742"/>
      <c r="C25" s="183">
        <v>2</v>
      </c>
      <c r="D25" s="776"/>
      <c r="E25" s="776"/>
      <c r="F25" s="776"/>
      <c r="G25" s="776"/>
      <c r="H25" s="776"/>
      <c r="I25" s="740">
        <f>(I30*3+I49*2+I51*2+I56)/2.5</f>
        <v>1706.4</v>
      </c>
      <c r="J25" s="741"/>
      <c r="K25" s="741"/>
      <c r="L25" s="741"/>
      <c r="M25" s="743">
        <f>(I30*3+I49*2+I52*2+I56)/2.5</f>
        <v>1785.6</v>
      </c>
      <c r="N25" s="741"/>
      <c r="O25" s="741"/>
      <c r="P25" s="748"/>
      <c r="Q25" s="11"/>
    </row>
    <row r="26" spans="1:18" ht="102" customHeight="1">
      <c r="A26" s="49"/>
      <c r="B26" s="32" t="s">
        <v>175</v>
      </c>
      <c r="C26" s="184">
        <v>2</v>
      </c>
      <c r="D26" s="776" t="s">
        <v>418</v>
      </c>
      <c r="E26" s="776"/>
      <c r="F26" s="776"/>
      <c r="G26" s="776"/>
      <c r="H26" s="776"/>
      <c r="I26" s="780">
        <f>(I29*3+I49*3+I50+I51*2+I56)/2.5</f>
        <v>2123.6</v>
      </c>
      <c r="J26" s="781"/>
      <c r="K26" s="781"/>
      <c r="L26" s="781"/>
      <c r="M26" s="782">
        <f>(I29*3+I49*3+I50+I52*2+I56)/2.5</f>
        <v>2202.8000000000002</v>
      </c>
      <c r="N26" s="781"/>
      <c r="O26" s="781"/>
      <c r="P26" s="783"/>
      <c r="Q26" s="11"/>
    </row>
    <row r="27" spans="1:18" ht="24.6">
      <c r="A27" s="812" t="s">
        <v>180</v>
      </c>
      <c r="B27" s="812"/>
      <c r="C27" s="812"/>
      <c r="D27" s="812"/>
      <c r="E27" s="812"/>
      <c r="F27" s="812"/>
      <c r="G27" s="812"/>
      <c r="H27" s="812"/>
      <c r="I27" s="812"/>
      <c r="J27" s="812"/>
      <c r="K27" s="812"/>
      <c r="L27" s="812"/>
      <c r="M27" s="812"/>
      <c r="N27" s="812"/>
      <c r="O27" s="812"/>
      <c r="P27" s="812"/>
      <c r="Q27" s="11"/>
    </row>
    <row r="28" spans="1:18" ht="55.5" customHeight="1">
      <c r="A28" s="597" t="s">
        <v>184</v>
      </c>
      <c r="B28" s="765" t="s">
        <v>164</v>
      </c>
      <c r="C28" s="765"/>
      <c r="D28" s="597" t="s">
        <v>253</v>
      </c>
      <c r="E28" s="597" t="s">
        <v>254</v>
      </c>
      <c r="F28" s="597" t="s">
        <v>8</v>
      </c>
      <c r="G28" s="597" t="s">
        <v>66</v>
      </c>
      <c r="H28" s="597" t="s">
        <v>255</v>
      </c>
      <c r="I28" s="765" t="s">
        <v>256</v>
      </c>
      <c r="J28" s="765"/>
      <c r="K28" s="765"/>
      <c r="L28" s="765"/>
      <c r="M28" s="765"/>
      <c r="N28" s="765"/>
      <c r="O28" s="765"/>
      <c r="P28" s="765"/>
      <c r="Q28" s="535" t="s">
        <v>570</v>
      </c>
    </row>
    <row r="29" spans="1:18" ht="20.399999999999999">
      <c r="A29" s="764"/>
      <c r="B29" s="742" t="s">
        <v>179</v>
      </c>
      <c r="C29" s="742"/>
      <c r="D29" s="23" t="s">
        <v>67</v>
      </c>
      <c r="E29" s="778">
        <v>100</v>
      </c>
      <c r="F29" s="24">
        <v>5.9</v>
      </c>
      <c r="G29" s="766" t="s">
        <v>19</v>
      </c>
      <c r="H29" s="810">
        <v>0.5</v>
      </c>
      <c r="I29" s="785">
        <f>ROUND(Q29*(1-$B$74),2)</f>
        <v>622</v>
      </c>
      <c r="J29" s="785"/>
      <c r="K29" s="785"/>
      <c r="L29" s="785"/>
      <c r="M29" s="785"/>
      <c r="N29" s="785"/>
      <c r="O29" s="785"/>
      <c r="P29" s="785"/>
      <c r="Q29" s="546">
        <v>622</v>
      </c>
      <c r="R29" s="3"/>
    </row>
    <row r="30" spans="1:18" ht="20.399999999999999">
      <c r="A30" s="764"/>
      <c r="B30" s="742"/>
      <c r="C30" s="742"/>
      <c r="D30" s="25" t="s">
        <v>105</v>
      </c>
      <c r="E30" s="779"/>
      <c r="F30" s="26">
        <v>7.3</v>
      </c>
      <c r="G30" s="767"/>
      <c r="H30" s="811"/>
      <c r="I30" s="784">
        <f t="shared" ref="I30:I64" si="0">ROUND(Q30*(1-$B$74),2)</f>
        <v>767</v>
      </c>
      <c r="J30" s="784"/>
      <c r="K30" s="784"/>
      <c r="L30" s="784"/>
      <c r="M30" s="784"/>
      <c r="N30" s="784"/>
      <c r="O30" s="784"/>
      <c r="P30" s="784"/>
      <c r="Q30" s="546">
        <v>767</v>
      </c>
      <c r="R30" s="3"/>
    </row>
    <row r="31" spans="1:18" ht="20.399999999999999">
      <c r="A31" s="764"/>
      <c r="B31" s="742" t="s">
        <v>106</v>
      </c>
      <c r="C31" s="742"/>
      <c r="D31" s="23" t="s">
        <v>107</v>
      </c>
      <c r="E31" s="778">
        <v>180</v>
      </c>
      <c r="F31" s="24">
        <v>3</v>
      </c>
      <c r="G31" s="818" t="s">
        <v>108</v>
      </c>
      <c r="H31" s="815">
        <v>1</v>
      </c>
      <c r="I31" s="728">
        <f t="shared" si="0"/>
        <v>281</v>
      </c>
      <c r="J31" s="729"/>
      <c r="K31" s="729"/>
      <c r="L31" s="729"/>
      <c r="M31" s="729"/>
      <c r="N31" s="729"/>
      <c r="O31" s="729"/>
      <c r="P31" s="730"/>
      <c r="Q31" s="546">
        <v>281</v>
      </c>
      <c r="R31" s="3"/>
    </row>
    <row r="32" spans="1:18" ht="20.399999999999999">
      <c r="A32" s="764"/>
      <c r="B32" s="742"/>
      <c r="C32" s="742"/>
      <c r="D32" s="25" t="s">
        <v>109</v>
      </c>
      <c r="E32" s="779"/>
      <c r="F32" s="26">
        <v>3.6</v>
      </c>
      <c r="G32" s="818"/>
      <c r="H32" s="815"/>
      <c r="I32" s="731">
        <f t="shared" si="0"/>
        <v>337</v>
      </c>
      <c r="J32" s="732"/>
      <c r="K32" s="732"/>
      <c r="L32" s="732"/>
      <c r="M32" s="732"/>
      <c r="N32" s="732"/>
      <c r="O32" s="732"/>
      <c r="P32" s="733"/>
      <c r="Q32" s="546">
        <v>337</v>
      </c>
      <c r="R32" s="3"/>
    </row>
    <row r="33" spans="1:18" ht="20.399999999999999">
      <c r="A33" s="764"/>
      <c r="B33" s="742"/>
      <c r="C33" s="742"/>
      <c r="D33" s="27" t="s">
        <v>107</v>
      </c>
      <c r="E33" s="778">
        <v>180</v>
      </c>
      <c r="F33" s="28">
        <v>3</v>
      </c>
      <c r="G33" s="818" t="s">
        <v>181</v>
      </c>
      <c r="H33" s="815"/>
      <c r="I33" s="728">
        <f t="shared" si="0"/>
        <v>418</v>
      </c>
      <c r="J33" s="729"/>
      <c r="K33" s="729"/>
      <c r="L33" s="729"/>
      <c r="M33" s="729"/>
      <c r="N33" s="729"/>
      <c r="O33" s="729"/>
      <c r="P33" s="730"/>
      <c r="Q33" s="546">
        <v>418</v>
      </c>
      <c r="R33" s="3"/>
    </row>
    <row r="34" spans="1:18" ht="20.399999999999999">
      <c r="A34" s="764"/>
      <c r="B34" s="742"/>
      <c r="C34" s="742"/>
      <c r="D34" s="25" t="s">
        <v>109</v>
      </c>
      <c r="E34" s="779"/>
      <c r="F34" s="26">
        <v>3.6</v>
      </c>
      <c r="G34" s="818"/>
      <c r="H34" s="815"/>
      <c r="I34" s="731">
        <f t="shared" si="0"/>
        <v>487</v>
      </c>
      <c r="J34" s="732"/>
      <c r="K34" s="732"/>
      <c r="L34" s="732"/>
      <c r="M34" s="732"/>
      <c r="N34" s="732"/>
      <c r="O34" s="732"/>
      <c r="P34" s="733"/>
      <c r="Q34" s="546">
        <v>487</v>
      </c>
      <c r="R34" s="3"/>
    </row>
    <row r="35" spans="1:18" ht="20.25" customHeight="1">
      <c r="A35" s="835"/>
      <c r="B35" s="843" t="s">
        <v>2</v>
      </c>
      <c r="C35" s="844"/>
      <c r="D35" s="716" t="s">
        <v>49</v>
      </c>
      <c r="E35" s="716">
        <v>96</v>
      </c>
      <c r="F35" s="727">
        <v>2.68</v>
      </c>
      <c r="G35" s="224" t="s">
        <v>108</v>
      </c>
      <c r="H35" s="721">
        <v>1.4</v>
      </c>
      <c r="I35" s="728">
        <f t="shared" si="0"/>
        <v>321</v>
      </c>
      <c r="J35" s="729"/>
      <c r="K35" s="729"/>
      <c r="L35" s="729"/>
      <c r="M35" s="729"/>
      <c r="N35" s="729"/>
      <c r="O35" s="729"/>
      <c r="P35" s="730"/>
      <c r="Q35" s="546">
        <v>321</v>
      </c>
      <c r="R35" s="3"/>
    </row>
    <row r="36" spans="1:18" ht="20.399999999999999">
      <c r="A36" s="836"/>
      <c r="B36" s="845"/>
      <c r="C36" s="846"/>
      <c r="D36" s="717"/>
      <c r="E36" s="718"/>
      <c r="F36" s="727"/>
      <c r="G36" s="225" t="s">
        <v>181</v>
      </c>
      <c r="H36" s="722"/>
      <c r="I36" s="731">
        <f t="shared" si="0"/>
        <v>428</v>
      </c>
      <c r="J36" s="732"/>
      <c r="K36" s="732"/>
      <c r="L36" s="732"/>
      <c r="M36" s="732"/>
      <c r="N36" s="732"/>
      <c r="O36" s="732"/>
      <c r="P36" s="733"/>
      <c r="Q36" s="546">
        <v>428</v>
      </c>
      <c r="R36" s="3"/>
    </row>
    <row r="37" spans="1:18" ht="20.399999999999999">
      <c r="A37" s="836"/>
      <c r="B37" s="845"/>
      <c r="C37" s="846"/>
      <c r="D37" s="716" t="s">
        <v>188</v>
      </c>
      <c r="E37" s="718"/>
      <c r="F37" s="727">
        <v>4.0199999999999996</v>
      </c>
      <c r="G37" s="224" t="s">
        <v>108</v>
      </c>
      <c r="H37" s="722"/>
      <c r="I37" s="728">
        <f t="shared" si="0"/>
        <v>442</v>
      </c>
      <c r="J37" s="729"/>
      <c r="K37" s="729"/>
      <c r="L37" s="729"/>
      <c r="M37" s="729"/>
      <c r="N37" s="729"/>
      <c r="O37" s="729"/>
      <c r="P37" s="730"/>
      <c r="Q37" s="546">
        <v>442</v>
      </c>
      <c r="R37" s="3"/>
    </row>
    <row r="38" spans="1:18" ht="20.399999999999999">
      <c r="A38" s="836"/>
      <c r="B38" s="845"/>
      <c r="C38" s="846"/>
      <c r="D38" s="717"/>
      <c r="E38" s="718"/>
      <c r="F38" s="727"/>
      <c r="G38" s="225" t="s">
        <v>181</v>
      </c>
      <c r="H38" s="722"/>
      <c r="I38" s="731">
        <f t="shared" si="0"/>
        <v>623</v>
      </c>
      <c r="J38" s="732"/>
      <c r="K38" s="732"/>
      <c r="L38" s="732"/>
      <c r="M38" s="732"/>
      <c r="N38" s="732"/>
      <c r="O38" s="732"/>
      <c r="P38" s="733"/>
      <c r="Q38" s="546">
        <v>623</v>
      </c>
      <c r="R38" s="3"/>
    </row>
    <row r="39" spans="1:18" ht="20.399999999999999">
      <c r="A39" s="836"/>
      <c r="B39" s="845"/>
      <c r="C39" s="846"/>
      <c r="D39" s="716" t="s">
        <v>189</v>
      </c>
      <c r="E39" s="718"/>
      <c r="F39" s="719">
        <v>5.36</v>
      </c>
      <c r="G39" s="224" t="s">
        <v>108</v>
      </c>
      <c r="H39" s="722"/>
      <c r="I39" s="728">
        <f t="shared" si="0"/>
        <v>563</v>
      </c>
      <c r="J39" s="729"/>
      <c r="K39" s="729"/>
      <c r="L39" s="729"/>
      <c r="M39" s="729"/>
      <c r="N39" s="729"/>
      <c r="O39" s="729"/>
      <c r="P39" s="730"/>
      <c r="Q39" s="546">
        <v>563</v>
      </c>
      <c r="R39" s="3"/>
    </row>
    <row r="40" spans="1:18" ht="20.399999999999999">
      <c r="A40" s="836"/>
      <c r="B40" s="845"/>
      <c r="C40" s="846"/>
      <c r="D40" s="717"/>
      <c r="E40" s="718"/>
      <c r="F40" s="720"/>
      <c r="G40" s="225" t="s">
        <v>181</v>
      </c>
      <c r="H40" s="722"/>
      <c r="I40" s="731">
        <f t="shared" si="0"/>
        <v>804</v>
      </c>
      <c r="J40" s="732"/>
      <c r="K40" s="732"/>
      <c r="L40" s="732"/>
      <c r="M40" s="732"/>
      <c r="N40" s="732"/>
      <c r="O40" s="732"/>
      <c r="P40" s="733"/>
      <c r="Q40" s="546">
        <v>804</v>
      </c>
      <c r="R40" s="3"/>
    </row>
    <row r="41" spans="1:18" ht="20.399999999999999">
      <c r="A41" s="836"/>
      <c r="B41" s="845"/>
      <c r="C41" s="846"/>
      <c r="D41" s="819" t="s">
        <v>110</v>
      </c>
      <c r="E41" s="718"/>
      <c r="F41" s="727">
        <v>6.7</v>
      </c>
      <c r="G41" s="224" t="s">
        <v>108</v>
      </c>
      <c r="H41" s="722"/>
      <c r="I41" s="728">
        <f t="shared" si="0"/>
        <v>670</v>
      </c>
      <c r="J41" s="729"/>
      <c r="K41" s="729"/>
      <c r="L41" s="729"/>
      <c r="M41" s="729"/>
      <c r="N41" s="729"/>
      <c r="O41" s="729"/>
      <c r="P41" s="730"/>
      <c r="Q41" s="546">
        <v>670</v>
      </c>
      <c r="R41" s="3"/>
    </row>
    <row r="42" spans="1:18" ht="20.399999999999999">
      <c r="A42" s="836"/>
      <c r="B42" s="845"/>
      <c r="C42" s="846"/>
      <c r="D42" s="819"/>
      <c r="E42" s="718"/>
      <c r="F42" s="727"/>
      <c r="G42" s="225" t="s">
        <v>181</v>
      </c>
      <c r="H42" s="722"/>
      <c r="I42" s="731">
        <f t="shared" si="0"/>
        <v>971</v>
      </c>
      <c r="J42" s="732"/>
      <c r="K42" s="732"/>
      <c r="L42" s="732"/>
      <c r="M42" s="732"/>
      <c r="N42" s="732"/>
      <c r="O42" s="732"/>
      <c r="P42" s="733"/>
      <c r="Q42" s="546">
        <v>971</v>
      </c>
      <c r="R42" s="3"/>
    </row>
    <row r="43" spans="1:18" ht="20.399999999999999">
      <c r="A43" s="836"/>
      <c r="B43" s="845"/>
      <c r="C43" s="846"/>
      <c r="D43" s="819" t="s">
        <v>111</v>
      </c>
      <c r="E43" s="718"/>
      <c r="F43" s="727">
        <v>8.0399999999999991</v>
      </c>
      <c r="G43" s="224" t="s">
        <v>108</v>
      </c>
      <c r="H43" s="722"/>
      <c r="I43" s="728">
        <f t="shared" si="0"/>
        <v>804</v>
      </c>
      <c r="J43" s="729"/>
      <c r="K43" s="729"/>
      <c r="L43" s="729"/>
      <c r="M43" s="729"/>
      <c r="N43" s="729"/>
      <c r="O43" s="729"/>
      <c r="P43" s="730"/>
      <c r="Q43" s="546">
        <v>804</v>
      </c>
      <c r="R43" s="3"/>
    </row>
    <row r="44" spans="1:18" ht="20.399999999999999">
      <c r="A44" s="837"/>
      <c r="B44" s="847"/>
      <c r="C44" s="848"/>
      <c r="D44" s="819"/>
      <c r="E44" s="718"/>
      <c r="F44" s="727"/>
      <c r="G44" s="226" t="s">
        <v>181</v>
      </c>
      <c r="H44" s="722"/>
      <c r="I44" s="731">
        <f t="shared" si="0"/>
        <v>1166</v>
      </c>
      <c r="J44" s="732"/>
      <c r="K44" s="732"/>
      <c r="L44" s="732"/>
      <c r="M44" s="732"/>
      <c r="N44" s="732"/>
      <c r="O44" s="732"/>
      <c r="P44" s="733"/>
      <c r="Q44" s="546">
        <v>1166</v>
      </c>
      <c r="R44" s="3"/>
    </row>
    <row r="45" spans="1:18" ht="20.399999999999999">
      <c r="A45" s="835"/>
      <c r="B45" s="843" t="s">
        <v>328</v>
      </c>
      <c r="C45" s="844"/>
      <c r="D45" s="716" t="s">
        <v>329</v>
      </c>
      <c r="E45" s="718"/>
      <c r="F45" s="719">
        <v>11.67</v>
      </c>
      <c r="G45" s="224" t="s">
        <v>108</v>
      </c>
      <c r="H45" s="722"/>
      <c r="I45" s="724">
        <f t="shared" si="0"/>
        <v>1167</v>
      </c>
      <c r="J45" s="725"/>
      <c r="K45" s="725"/>
      <c r="L45" s="725"/>
      <c r="M45" s="725"/>
      <c r="N45" s="725"/>
      <c r="O45" s="725"/>
      <c r="P45" s="726"/>
      <c r="Q45" s="546">
        <v>1167</v>
      </c>
      <c r="R45" s="3"/>
    </row>
    <row r="46" spans="1:18" ht="20.399999999999999">
      <c r="A46" s="836"/>
      <c r="B46" s="845"/>
      <c r="C46" s="846"/>
      <c r="D46" s="717"/>
      <c r="E46" s="718"/>
      <c r="F46" s="720"/>
      <c r="G46" s="226" t="s">
        <v>181</v>
      </c>
      <c r="H46" s="722"/>
      <c r="I46" s="724">
        <f t="shared" si="0"/>
        <v>1692</v>
      </c>
      <c r="J46" s="725"/>
      <c r="K46" s="725"/>
      <c r="L46" s="725"/>
      <c r="M46" s="725"/>
      <c r="N46" s="725"/>
      <c r="O46" s="725"/>
      <c r="P46" s="726"/>
      <c r="Q46" s="546">
        <v>1692</v>
      </c>
      <c r="R46" s="3"/>
    </row>
    <row r="47" spans="1:18" ht="20.399999999999999">
      <c r="A47" s="836"/>
      <c r="B47" s="845"/>
      <c r="C47" s="846"/>
      <c r="D47" s="716" t="s">
        <v>330</v>
      </c>
      <c r="E47" s="718"/>
      <c r="F47" s="719">
        <v>15.56</v>
      </c>
      <c r="G47" s="224" t="s">
        <v>108</v>
      </c>
      <c r="H47" s="722"/>
      <c r="I47" s="724">
        <f t="shared" si="0"/>
        <v>1556</v>
      </c>
      <c r="J47" s="725"/>
      <c r="K47" s="725"/>
      <c r="L47" s="725"/>
      <c r="M47" s="725"/>
      <c r="N47" s="725"/>
      <c r="O47" s="725"/>
      <c r="P47" s="726"/>
      <c r="Q47" s="546">
        <v>1556</v>
      </c>
      <c r="R47" s="3"/>
    </row>
    <row r="48" spans="1:18" ht="20.399999999999999">
      <c r="A48" s="837"/>
      <c r="B48" s="847"/>
      <c r="C48" s="848"/>
      <c r="D48" s="717"/>
      <c r="E48" s="717"/>
      <c r="F48" s="720"/>
      <c r="G48" s="226" t="s">
        <v>181</v>
      </c>
      <c r="H48" s="723"/>
      <c r="I48" s="724">
        <f t="shared" si="0"/>
        <v>2256</v>
      </c>
      <c r="J48" s="725"/>
      <c r="K48" s="725"/>
      <c r="L48" s="725"/>
      <c r="M48" s="725"/>
      <c r="N48" s="725"/>
      <c r="O48" s="725"/>
      <c r="P48" s="726"/>
      <c r="Q48" s="546">
        <v>2256</v>
      </c>
      <c r="R48" s="3"/>
    </row>
    <row r="49" spans="1:18" ht="39.75" customHeight="1">
      <c r="A49" s="50"/>
      <c r="B49" s="742" t="s">
        <v>220</v>
      </c>
      <c r="C49" s="742"/>
      <c r="D49" s="10" t="s">
        <v>221</v>
      </c>
      <c r="E49" s="10">
        <v>162</v>
      </c>
      <c r="F49" s="29">
        <v>3.3</v>
      </c>
      <c r="G49" s="29" t="s">
        <v>42</v>
      </c>
      <c r="H49" s="22">
        <v>1</v>
      </c>
      <c r="I49" s="814">
        <f t="shared" si="0"/>
        <v>470</v>
      </c>
      <c r="J49" s="814"/>
      <c r="K49" s="814"/>
      <c r="L49" s="814"/>
      <c r="M49" s="814"/>
      <c r="N49" s="814"/>
      <c r="O49" s="814"/>
      <c r="P49" s="814"/>
      <c r="Q49" s="546">
        <v>470</v>
      </c>
      <c r="R49" s="3"/>
    </row>
    <row r="50" spans="1:18" ht="39.75" customHeight="1">
      <c r="A50" s="50"/>
      <c r="B50" s="742" t="s">
        <v>323</v>
      </c>
      <c r="C50" s="742"/>
      <c r="D50" s="10" t="s">
        <v>237</v>
      </c>
      <c r="E50" s="10">
        <v>100</v>
      </c>
      <c r="F50" s="29">
        <v>3.6</v>
      </c>
      <c r="G50" s="29" t="s">
        <v>181</v>
      </c>
      <c r="H50" s="22">
        <v>0.5</v>
      </c>
      <c r="I50" s="814">
        <f t="shared" si="0"/>
        <v>1008</v>
      </c>
      <c r="J50" s="814"/>
      <c r="K50" s="814"/>
      <c r="L50" s="814"/>
      <c r="M50" s="814"/>
      <c r="N50" s="814"/>
      <c r="O50" s="814"/>
      <c r="P50" s="814"/>
      <c r="Q50" s="546">
        <v>1008</v>
      </c>
      <c r="R50" s="3"/>
    </row>
    <row r="51" spans="1:18" ht="20.399999999999999">
      <c r="A51" s="764"/>
      <c r="B51" s="742" t="s">
        <v>238</v>
      </c>
      <c r="C51" s="742"/>
      <c r="D51" s="23" t="s">
        <v>239</v>
      </c>
      <c r="E51" s="778">
        <v>154</v>
      </c>
      <c r="F51" s="24">
        <v>3.3</v>
      </c>
      <c r="G51" s="818" t="s">
        <v>42</v>
      </c>
      <c r="H51" s="815">
        <v>1</v>
      </c>
      <c r="I51" s="813">
        <f t="shared" si="0"/>
        <v>494</v>
      </c>
      <c r="J51" s="813"/>
      <c r="K51" s="813"/>
      <c r="L51" s="813"/>
      <c r="M51" s="813"/>
      <c r="N51" s="813"/>
      <c r="O51" s="813"/>
      <c r="P51" s="813"/>
      <c r="Q51" s="546">
        <v>494</v>
      </c>
      <c r="R51" s="3"/>
    </row>
    <row r="52" spans="1:18" ht="20.399999999999999">
      <c r="A52" s="764"/>
      <c r="B52" s="742"/>
      <c r="C52" s="742"/>
      <c r="D52" s="25" t="s">
        <v>240</v>
      </c>
      <c r="E52" s="779"/>
      <c r="F52" s="26">
        <v>3.96</v>
      </c>
      <c r="G52" s="818"/>
      <c r="H52" s="815"/>
      <c r="I52" s="784">
        <f t="shared" si="0"/>
        <v>593</v>
      </c>
      <c r="J52" s="784"/>
      <c r="K52" s="784"/>
      <c r="L52" s="784"/>
      <c r="M52" s="784"/>
      <c r="N52" s="784"/>
      <c r="O52" s="784"/>
      <c r="P52" s="784"/>
      <c r="Q52" s="546">
        <v>593</v>
      </c>
      <c r="R52" s="3"/>
    </row>
    <row r="53" spans="1:18" ht="20.399999999999999">
      <c r="A53" s="764"/>
      <c r="B53" s="742" t="s">
        <v>241</v>
      </c>
      <c r="C53" s="742"/>
      <c r="D53" s="834" t="s">
        <v>242</v>
      </c>
      <c r="E53" s="834">
        <v>42</v>
      </c>
      <c r="F53" s="832">
        <v>0.25</v>
      </c>
      <c r="G53" s="24" t="s">
        <v>108</v>
      </c>
      <c r="H53" s="815">
        <v>1.4</v>
      </c>
      <c r="I53" s="813">
        <f t="shared" si="0"/>
        <v>47</v>
      </c>
      <c r="J53" s="813"/>
      <c r="K53" s="813"/>
      <c r="L53" s="813"/>
      <c r="M53" s="813"/>
      <c r="N53" s="813"/>
      <c r="O53" s="813"/>
      <c r="P53" s="813"/>
      <c r="Q53" s="546">
        <v>47</v>
      </c>
      <c r="R53" s="3"/>
    </row>
    <row r="54" spans="1:18" ht="20.399999999999999">
      <c r="A54" s="764"/>
      <c r="B54" s="742"/>
      <c r="C54" s="742"/>
      <c r="D54" s="834"/>
      <c r="E54" s="834"/>
      <c r="F54" s="833"/>
      <c r="G54" s="26" t="s">
        <v>181</v>
      </c>
      <c r="H54" s="815"/>
      <c r="I54" s="784">
        <f t="shared" si="0"/>
        <v>94</v>
      </c>
      <c r="J54" s="784"/>
      <c r="K54" s="784"/>
      <c r="L54" s="784"/>
      <c r="M54" s="784"/>
      <c r="N54" s="784"/>
      <c r="O54" s="784"/>
      <c r="P54" s="784"/>
      <c r="Q54" s="546">
        <v>94</v>
      </c>
      <c r="R54" s="3"/>
    </row>
    <row r="55" spans="1:18" ht="39.75" customHeight="1">
      <c r="A55" s="50"/>
      <c r="B55" s="742" t="s">
        <v>243</v>
      </c>
      <c r="C55" s="742"/>
      <c r="D55" s="10" t="s">
        <v>244</v>
      </c>
      <c r="E55" s="10">
        <v>30</v>
      </c>
      <c r="F55" s="29">
        <v>0.3</v>
      </c>
      <c r="G55" s="29" t="s">
        <v>181</v>
      </c>
      <c r="H55" s="22">
        <v>1.4</v>
      </c>
      <c r="I55" s="814">
        <f t="shared" si="0"/>
        <v>94</v>
      </c>
      <c r="J55" s="814"/>
      <c r="K55" s="814"/>
      <c r="L55" s="814"/>
      <c r="M55" s="814"/>
      <c r="N55" s="814"/>
      <c r="O55" s="814"/>
      <c r="P55" s="814"/>
      <c r="Q55" s="546">
        <v>94</v>
      </c>
      <c r="R55" s="3"/>
    </row>
    <row r="56" spans="1:18" ht="39.75" customHeight="1">
      <c r="A56" s="50"/>
      <c r="B56" s="742" t="s">
        <v>245</v>
      </c>
      <c r="C56" s="742"/>
      <c r="D56" s="10" t="s">
        <v>246</v>
      </c>
      <c r="E56" s="10">
        <v>80</v>
      </c>
      <c r="F56" s="29">
        <v>0.02</v>
      </c>
      <c r="G56" s="29" t="s">
        <v>181</v>
      </c>
      <c r="H56" s="22">
        <v>0.5</v>
      </c>
      <c r="I56" s="814">
        <f t="shared" si="0"/>
        <v>37</v>
      </c>
      <c r="J56" s="814"/>
      <c r="K56" s="814"/>
      <c r="L56" s="814"/>
      <c r="M56" s="814"/>
      <c r="N56" s="814"/>
      <c r="O56" s="814"/>
      <c r="P56" s="814"/>
      <c r="Q56" s="546">
        <v>37</v>
      </c>
      <c r="R56" s="3"/>
    </row>
    <row r="57" spans="1:18" ht="39.75" customHeight="1">
      <c r="A57" s="50"/>
      <c r="B57" s="742" t="s">
        <v>247</v>
      </c>
      <c r="C57" s="742"/>
      <c r="D57" s="10" t="s">
        <v>248</v>
      </c>
      <c r="E57" s="10">
        <v>200</v>
      </c>
      <c r="F57" s="435" t="s">
        <v>44</v>
      </c>
      <c r="G57" s="29" t="s">
        <v>249</v>
      </c>
      <c r="H57" s="22" t="s">
        <v>44</v>
      </c>
      <c r="I57" s="814">
        <f t="shared" si="0"/>
        <v>43</v>
      </c>
      <c r="J57" s="814"/>
      <c r="K57" s="814"/>
      <c r="L57" s="814"/>
      <c r="M57" s="814"/>
      <c r="N57" s="814"/>
      <c r="O57" s="814"/>
      <c r="P57" s="814"/>
      <c r="Q57" s="546">
        <v>43</v>
      </c>
      <c r="R57" s="3"/>
    </row>
    <row r="58" spans="1:18" ht="39.75" customHeight="1">
      <c r="A58" s="50"/>
      <c r="B58" s="742" t="s">
        <v>250</v>
      </c>
      <c r="C58" s="742"/>
      <c r="D58" s="10" t="s">
        <v>251</v>
      </c>
      <c r="E58" s="10">
        <v>100</v>
      </c>
      <c r="F58" s="29">
        <v>0.13700000000000001</v>
      </c>
      <c r="G58" s="29" t="s">
        <v>108</v>
      </c>
      <c r="H58" s="22">
        <v>1.4</v>
      </c>
      <c r="I58" s="814">
        <f t="shared" si="0"/>
        <v>47</v>
      </c>
      <c r="J58" s="814"/>
      <c r="K58" s="814"/>
      <c r="L58" s="814"/>
      <c r="M58" s="814"/>
      <c r="N58" s="814"/>
      <c r="O58" s="814"/>
      <c r="P58" s="814"/>
      <c r="Q58" s="546">
        <v>47</v>
      </c>
      <c r="R58" s="3"/>
    </row>
    <row r="59" spans="1:18" ht="39.75" customHeight="1">
      <c r="A59" s="50"/>
      <c r="B59" s="742" t="s">
        <v>215</v>
      </c>
      <c r="C59" s="742"/>
      <c r="D59" s="10" t="s">
        <v>216</v>
      </c>
      <c r="E59" s="10">
        <v>160</v>
      </c>
      <c r="F59" s="29">
        <v>0.01</v>
      </c>
      <c r="G59" s="29" t="s">
        <v>181</v>
      </c>
      <c r="H59" s="22">
        <v>0.5</v>
      </c>
      <c r="I59" s="814">
        <f t="shared" si="0"/>
        <v>26</v>
      </c>
      <c r="J59" s="814"/>
      <c r="K59" s="814"/>
      <c r="L59" s="814"/>
      <c r="M59" s="814"/>
      <c r="N59" s="814"/>
      <c r="O59" s="814"/>
      <c r="P59" s="814"/>
      <c r="Q59" s="546">
        <v>26</v>
      </c>
      <c r="R59" s="3"/>
    </row>
    <row r="60" spans="1:18" ht="39.75" customHeight="1">
      <c r="A60" s="351"/>
      <c r="B60" s="823" t="s">
        <v>438</v>
      </c>
      <c r="C60" s="824"/>
      <c r="D60" s="350" t="s">
        <v>437</v>
      </c>
      <c r="E60" s="828" t="s">
        <v>44</v>
      </c>
      <c r="F60" s="829"/>
      <c r="G60" s="829"/>
      <c r="H60" s="830"/>
      <c r="I60" s="825">
        <f t="shared" si="0"/>
        <v>300</v>
      </c>
      <c r="J60" s="826"/>
      <c r="K60" s="826"/>
      <c r="L60" s="826"/>
      <c r="M60" s="826"/>
      <c r="N60" s="826"/>
      <c r="O60" s="826"/>
      <c r="P60" s="827"/>
      <c r="Q60" s="546">
        <v>300</v>
      </c>
      <c r="R60" s="3"/>
    </row>
    <row r="61" spans="1:18" ht="41.25" customHeight="1">
      <c r="A61" s="55"/>
      <c r="B61" s="842" t="s">
        <v>186</v>
      </c>
      <c r="C61" s="842"/>
      <c r="D61" s="717" t="s">
        <v>230</v>
      </c>
      <c r="E61" s="31">
        <v>1000</v>
      </c>
      <c r="F61" s="56"/>
      <c r="G61" s="31" t="s">
        <v>182</v>
      </c>
      <c r="H61" s="31" t="s">
        <v>44</v>
      </c>
      <c r="I61" s="822">
        <f t="shared" si="0"/>
        <v>1.6</v>
      </c>
      <c r="J61" s="822"/>
      <c r="K61" s="822"/>
      <c r="L61" s="822"/>
      <c r="M61" s="822"/>
      <c r="N61" s="822"/>
      <c r="O61" s="822"/>
      <c r="P61" s="822"/>
      <c r="Q61" s="546">
        <v>1.6</v>
      </c>
      <c r="R61" s="3"/>
    </row>
    <row r="62" spans="1:18" ht="42.75" customHeight="1">
      <c r="A62" s="50"/>
      <c r="B62" s="849" t="s">
        <v>187</v>
      </c>
      <c r="C62" s="849"/>
      <c r="D62" s="819"/>
      <c r="E62" s="9">
        <v>1000</v>
      </c>
      <c r="F62" s="30"/>
      <c r="G62" s="31" t="s">
        <v>182</v>
      </c>
      <c r="H62" s="9" t="s">
        <v>44</v>
      </c>
      <c r="I62" s="822">
        <f t="shared" si="0"/>
        <v>1.7</v>
      </c>
      <c r="J62" s="822"/>
      <c r="K62" s="822"/>
      <c r="L62" s="822"/>
      <c r="M62" s="822"/>
      <c r="N62" s="822"/>
      <c r="O62" s="822"/>
      <c r="P62" s="822"/>
      <c r="Q62" s="546">
        <v>1.7</v>
      </c>
      <c r="R62" s="3"/>
    </row>
    <row r="63" spans="1:18" ht="41.25" customHeight="1">
      <c r="A63" s="764"/>
      <c r="B63" s="817" t="s">
        <v>183</v>
      </c>
      <c r="C63" s="817"/>
      <c r="D63" s="819"/>
      <c r="E63" s="834">
        <v>250</v>
      </c>
      <c r="F63" s="818"/>
      <c r="G63" s="818" t="s">
        <v>182</v>
      </c>
      <c r="H63" s="815" t="s">
        <v>44</v>
      </c>
      <c r="I63" s="821">
        <f t="shared" si="0"/>
        <v>4</v>
      </c>
      <c r="J63" s="821"/>
      <c r="K63" s="821"/>
      <c r="L63" s="821"/>
      <c r="M63" s="821"/>
      <c r="N63" s="821"/>
      <c r="O63" s="821"/>
      <c r="P63" s="821"/>
      <c r="Q63" s="546">
        <v>4</v>
      </c>
      <c r="R63" s="3"/>
    </row>
    <row r="64" spans="1:18" ht="41.25" customHeight="1">
      <c r="A64" s="764"/>
      <c r="B64" s="816" t="s">
        <v>185</v>
      </c>
      <c r="C64" s="816"/>
      <c r="D64" s="819"/>
      <c r="E64" s="834"/>
      <c r="F64" s="818"/>
      <c r="G64" s="818"/>
      <c r="H64" s="815"/>
      <c r="I64" s="820">
        <f t="shared" si="0"/>
        <v>4</v>
      </c>
      <c r="J64" s="820"/>
      <c r="K64" s="820"/>
      <c r="L64" s="820"/>
      <c r="M64" s="820"/>
      <c r="N64" s="820"/>
      <c r="O64" s="820"/>
      <c r="P64" s="820"/>
      <c r="Q64" s="546">
        <v>4</v>
      </c>
      <c r="R64" s="3"/>
    </row>
    <row r="65" spans="1:17" ht="21">
      <c r="P65" s="52"/>
      <c r="Q65" s="52"/>
    </row>
    <row r="66" spans="1:17" ht="21">
      <c r="A66" s="113" t="s">
        <v>45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53"/>
      <c r="Q66" s="53"/>
    </row>
    <row r="67" spans="1:17" ht="21">
      <c r="A67" s="40" t="s">
        <v>322</v>
      </c>
      <c r="B67" s="11"/>
      <c r="C67" s="11"/>
      <c r="D67" s="11"/>
      <c r="E67" s="11"/>
      <c r="F67" s="11"/>
      <c r="G67" s="39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21">
      <c r="A68" s="40" t="s">
        <v>196</v>
      </c>
      <c r="P68" s="11"/>
      <c r="Q68" s="11"/>
    </row>
    <row r="69" spans="1:17" ht="20.399999999999999">
      <c r="A69" s="11"/>
      <c r="B69" s="11"/>
      <c r="C69" s="11"/>
      <c r="D69" s="11"/>
      <c r="E69" s="11"/>
      <c r="F69" s="11"/>
      <c r="G69" s="39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7" ht="21">
      <c r="A70" s="114" t="s">
        <v>580</v>
      </c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"/>
      <c r="Q70" s="11"/>
    </row>
    <row r="71" spans="1:17" ht="20.399999999999999">
      <c r="B71" s="11"/>
      <c r="C71" s="11"/>
      <c r="D71" s="11"/>
      <c r="E71" s="11"/>
      <c r="F71" s="11"/>
      <c r="G71" s="39"/>
      <c r="H71" s="11"/>
      <c r="I71" s="11"/>
      <c r="J71" s="11"/>
      <c r="K71" s="11"/>
      <c r="L71" s="11"/>
      <c r="M71" s="11"/>
      <c r="N71" s="11"/>
      <c r="O71" s="11"/>
      <c r="P71" s="11"/>
      <c r="Q71" s="11"/>
    </row>
    <row r="72" spans="1:17" ht="21">
      <c r="A72" s="40"/>
      <c r="B72" s="11"/>
      <c r="C72" s="11"/>
      <c r="D72" s="11"/>
      <c r="E72" s="11"/>
      <c r="F72" s="11"/>
      <c r="G72" s="39"/>
      <c r="H72" s="11"/>
      <c r="I72" s="11"/>
      <c r="J72" s="11"/>
      <c r="K72" s="11"/>
      <c r="L72" s="11"/>
      <c r="M72" s="11"/>
      <c r="N72" s="11"/>
      <c r="O72" s="11"/>
      <c r="P72" s="11"/>
      <c r="Q72" s="11"/>
    </row>
    <row r="73" spans="1:17" ht="49.2">
      <c r="A73" s="841" t="s">
        <v>62</v>
      </c>
      <c r="B73" s="598" t="s">
        <v>149</v>
      </c>
      <c r="C73" s="584" t="s">
        <v>176</v>
      </c>
      <c r="D73" s="839" t="s">
        <v>177</v>
      </c>
      <c r="E73" s="840"/>
      <c r="F73" s="839" t="s">
        <v>178</v>
      </c>
      <c r="G73" s="840"/>
      <c r="H73" s="11"/>
      <c r="I73" s="11"/>
      <c r="J73" s="11"/>
      <c r="K73" s="11"/>
      <c r="L73" s="11"/>
      <c r="M73" s="11"/>
      <c r="N73" s="11"/>
      <c r="O73" s="11"/>
      <c r="P73" s="11"/>
      <c r="Q73" s="11"/>
    </row>
    <row r="74" spans="1:17" ht="32.4">
      <c r="A74" s="841"/>
      <c r="B74" s="112">
        <v>0</v>
      </c>
      <c r="C74" s="112">
        <v>0</v>
      </c>
      <c r="D74" s="627">
        <v>0</v>
      </c>
      <c r="E74" s="629"/>
      <c r="F74" s="627">
        <v>0</v>
      </c>
      <c r="G74" s="629"/>
      <c r="H74" s="11"/>
      <c r="I74" s="11"/>
      <c r="J74" s="11"/>
      <c r="K74" s="11"/>
      <c r="L74" s="11"/>
      <c r="M74" s="11"/>
      <c r="N74" s="11"/>
      <c r="O74" s="11"/>
      <c r="P74" s="11"/>
      <c r="Q74" s="11"/>
    </row>
    <row r="75" spans="1:17" ht="20.399999999999999">
      <c r="B75" s="11"/>
      <c r="C75" s="11"/>
      <c r="D75" s="11"/>
      <c r="E75" s="11"/>
      <c r="F75" s="39"/>
      <c r="G75" s="39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7" ht="20.399999999999999">
      <c r="A76" s="11"/>
      <c r="B76" s="11"/>
      <c r="C76" s="11"/>
      <c r="D76" s="11"/>
      <c r="E76" s="11"/>
      <c r="F76" s="11"/>
      <c r="G76" s="39"/>
      <c r="H76" s="11"/>
      <c r="I76" s="11"/>
      <c r="J76" s="11"/>
      <c r="K76" s="11"/>
      <c r="L76" s="11"/>
      <c r="M76" s="11"/>
      <c r="N76" s="11"/>
      <c r="O76" s="11"/>
      <c r="P76" s="11"/>
      <c r="Q76" s="11"/>
    </row>
    <row r="77" spans="1:17" ht="20.399999999999999">
      <c r="A77" s="11"/>
      <c r="B77" s="11"/>
      <c r="C77" s="11"/>
      <c r="D77" s="11"/>
      <c r="E77" s="11"/>
      <c r="F77" s="11"/>
      <c r="G77" s="39"/>
      <c r="H77" s="11"/>
      <c r="I77" s="11"/>
      <c r="J77" s="11"/>
      <c r="K77" s="11"/>
      <c r="L77" s="11"/>
      <c r="M77" s="11"/>
      <c r="N77" s="11"/>
      <c r="O77" s="11"/>
      <c r="P77" s="11"/>
      <c r="Q77" s="11"/>
    </row>
    <row r="78" spans="1:17" ht="20.399999999999999">
      <c r="A78" s="11"/>
      <c r="B78" s="11"/>
      <c r="C78" s="11"/>
      <c r="D78" s="11"/>
      <c r="E78" s="11"/>
      <c r="F78" s="11"/>
      <c r="G78" s="39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20.399999999999999">
      <c r="A79" s="11"/>
      <c r="B79" s="11"/>
      <c r="C79" s="11"/>
      <c r="D79" s="11"/>
      <c r="E79" s="11"/>
      <c r="F79" s="11"/>
      <c r="G79" s="39"/>
      <c r="H79" s="11"/>
      <c r="I79" s="11"/>
      <c r="J79" s="11"/>
      <c r="K79" s="11"/>
      <c r="L79" s="11"/>
      <c r="M79" s="11"/>
      <c r="N79" s="11"/>
      <c r="O79" s="11"/>
      <c r="P79" s="11"/>
      <c r="Q79" s="11"/>
    </row>
  </sheetData>
  <sheetProtection formatCells="0" formatColumns="0" formatRows="0" insertColumns="0" insertRows="0" insertHyperlinks="0" deleteColumns="0" deleteRows="0" sort="0" autoFilter="0" pivotTables="0"/>
  <mergeCells count="155">
    <mergeCell ref="D73:E73"/>
    <mergeCell ref="A73:A74"/>
    <mergeCell ref="B59:C59"/>
    <mergeCell ref="B61:C61"/>
    <mergeCell ref="D74:E74"/>
    <mergeCell ref="B58:C58"/>
    <mergeCell ref="B56:C56"/>
    <mergeCell ref="B35:C44"/>
    <mergeCell ref="F73:G73"/>
    <mergeCell ref="F74:G74"/>
    <mergeCell ref="A63:A64"/>
    <mergeCell ref="B62:C62"/>
    <mergeCell ref="G63:G64"/>
    <mergeCell ref="E63:E64"/>
    <mergeCell ref="B55:C55"/>
    <mergeCell ref="D41:D42"/>
    <mergeCell ref="D43:D44"/>
    <mergeCell ref="F37:F38"/>
    <mergeCell ref="D35:D36"/>
    <mergeCell ref="E53:E54"/>
    <mergeCell ref="A51:A52"/>
    <mergeCell ref="A45:A48"/>
    <mergeCell ref="B45:C48"/>
    <mergeCell ref="D45:D46"/>
    <mergeCell ref="I49:P49"/>
    <mergeCell ref="I44:P44"/>
    <mergeCell ref="A10:P10"/>
    <mergeCell ref="F53:F54"/>
    <mergeCell ref="H53:H54"/>
    <mergeCell ref="H51:H52"/>
    <mergeCell ref="A53:A54"/>
    <mergeCell ref="B49:C49"/>
    <mergeCell ref="B53:C54"/>
    <mergeCell ref="B50:C50"/>
    <mergeCell ref="D53:D54"/>
    <mergeCell ref="F41:F42"/>
    <mergeCell ref="F39:F40"/>
    <mergeCell ref="H31:H34"/>
    <mergeCell ref="G33:G34"/>
    <mergeCell ref="G51:G52"/>
    <mergeCell ref="A35:A44"/>
    <mergeCell ref="A31:A34"/>
    <mergeCell ref="G31:G32"/>
    <mergeCell ref="B51:C52"/>
    <mergeCell ref="D39:D40"/>
    <mergeCell ref="D37:D38"/>
    <mergeCell ref="O11:P11"/>
    <mergeCell ref="B31:C34"/>
    <mergeCell ref="I52:P52"/>
    <mergeCell ref="I51:P51"/>
    <mergeCell ref="I50:P50"/>
    <mergeCell ref="H63:H64"/>
    <mergeCell ref="B64:C64"/>
    <mergeCell ref="B63:C63"/>
    <mergeCell ref="F63:F64"/>
    <mergeCell ref="D61:D64"/>
    <mergeCell ref="I64:P64"/>
    <mergeCell ref="B57:C57"/>
    <mergeCell ref="I59:P59"/>
    <mergeCell ref="I58:P58"/>
    <mergeCell ref="I57:P57"/>
    <mergeCell ref="I56:P56"/>
    <mergeCell ref="I55:P55"/>
    <mergeCell ref="I54:P54"/>
    <mergeCell ref="I63:P63"/>
    <mergeCell ref="I62:P62"/>
    <mergeCell ref="I61:P61"/>
    <mergeCell ref="I53:P53"/>
    <mergeCell ref="B60:C60"/>
    <mergeCell ref="I60:P60"/>
    <mergeCell ref="E60:H60"/>
    <mergeCell ref="E51:E52"/>
    <mergeCell ref="D12:H13"/>
    <mergeCell ref="C12:C13"/>
    <mergeCell ref="B12:B13"/>
    <mergeCell ref="I41:P41"/>
    <mergeCell ref="A12:A13"/>
    <mergeCell ref="D14:H17"/>
    <mergeCell ref="C14:C17"/>
    <mergeCell ref="M14:P14"/>
    <mergeCell ref="I12:P12"/>
    <mergeCell ref="M17:N17"/>
    <mergeCell ref="O17:P17"/>
    <mergeCell ref="I13:P13"/>
    <mergeCell ref="I20:L20"/>
    <mergeCell ref="I18:P18"/>
    <mergeCell ref="M20:P20"/>
    <mergeCell ref="I23:L23"/>
    <mergeCell ref="M23:P23"/>
    <mergeCell ref="I21:L21"/>
    <mergeCell ref="A22:H23"/>
    <mergeCell ref="D20:H21"/>
    <mergeCell ref="A20:A21"/>
    <mergeCell ref="D26:H26"/>
    <mergeCell ref="H29:H30"/>
    <mergeCell ref="A27:P27"/>
    <mergeCell ref="I26:L26"/>
    <mergeCell ref="I36:P36"/>
    <mergeCell ref="I35:P35"/>
    <mergeCell ref="I34:P34"/>
    <mergeCell ref="I33:P33"/>
    <mergeCell ref="M26:P26"/>
    <mergeCell ref="I32:P32"/>
    <mergeCell ref="I31:P31"/>
    <mergeCell ref="I30:P30"/>
    <mergeCell ref="I29:P29"/>
    <mergeCell ref="I28:P28"/>
    <mergeCell ref="A29:A30"/>
    <mergeCell ref="B28:C28"/>
    <mergeCell ref="B29:C30"/>
    <mergeCell ref="F35:F36"/>
    <mergeCell ref="G29:G30"/>
    <mergeCell ref="A18:H19"/>
    <mergeCell ref="B20:B21"/>
    <mergeCell ref="D24:H25"/>
    <mergeCell ref="A14:A17"/>
    <mergeCell ref="E33:E34"/>
    <mergeCell ref="E31:E32"/>
    <mergeCell ref="E29:E30"/>
    <mergeCell ref="M24:P24"/>
    <mergeCell ref="M25:P25"/>
    <mergeCell ref="I22:P22"/>
    <mergeCell ref="I19:L19"/>
    <mergeCell ref="M19:P19"/>
    <mergeCell ref="I15:P15"/>
    <mergeCell ref="I17:J17"/>
    <mergeCell ref="K17:L17"/>
    <mergeCell ref="I16:J16"/>
    <mergeCell ref="K16:L16"/>
    <mergeCell ref="M16:N16"/>
    <mergeCell ref="O16:P16"/>
    <mergeCell ref="A1:P9"/>
    <mergeCell ref="D47:D48"/>
    <mergeCell ref="E35:E48"/>
    <mergeCell ref="F45:F46"/>
    <mergeCell ref="F47:F48"/>
    <mergeCell ref="H35:H48"/>
    <mergeCell ref="I45:P45"/>
    <mergeCell ref="I46:P46"/>
    <mergeCell ref="I47:P47"/>
    <mergeCell ref="I48:P48"/>
    <mergeCell ref="F43:F44"/>
    <mergeCell ref="I43:P43"/>
    <mergeCell ref="I42:P42"/>
    <mergeCell ref="I40:P40"/>
    <mergeCell ref="I39:P39"/>
    <mergeCell ref="I38:P38"/>
    <mergeCell ref="I37:P37"/>
    <mergeCell ref="I14:L14"/>
    <mergeCell ref="B14:B17"/>
    <mergeCell ref="A24:A25"/>
    <mergeCell ref="I24:L24"/>
    <mergeCell ref="I25:L25"/>
    <mergeCell ref="B24:B25"/>
    <mergeCell ref="M21:P21"/>
  </mergeCells>
  <phoneticPr fontId="30" type="noConversion"/>
  <printOptions horizontalCentered="1"/>
  <pageMargins left="0" right="0" top="0" bottom="0" header="0" footer="0"/>
  <pageSetup paperSize="9" scale="40" orientation="portrait" r:id="rId1"/>
  <headerFooter alignWithMargins="0">
    <oddFooter>&amp;R&amp;16Стр. &amp;P из  &amp;N
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T102"/>
  <sheetViews>
    <sheetView showGridLines="0" topLeftCell="A49" zoomScale="40" zoomScaleNormal="40" zoomScaleSheetLayoutView="50" zoomScalePageLayoutView="10" workbookViewId="0">
      <selection activeCell="AC10" sqref="AC10"/>
    </sheetView>
  </sheetViews>
  <sheetFormatPr defaultColWidth="8.6640625" defaultRowHeight="14.4"/>
  <cols>
    <col min="1" max="1" width="38" style="75" customWidth="1"/>
    <col min="2" max="2" width="18.44140625" style="75" customWidth="1"/>
    <col min="3" max="3" width="14.6640625" style="75" customWidth="1"/>
    <col min="4" max="4" width="18.6640625" style="75" customWidth="1"/>
    <col min="5" max="5" width="33.33203125" style="75" customWidth="1"/>
    <col min="6" max="6" width="20.109375" style="75" customWidth="1"/>
    <col min="7" max="7" width="18.109375" style="75" customWidth="1"/>
    <col min="8" max="8" width="26" style="75" customWidth="1"/>
    <col min="9" max="9" width="29" style="75" customWidth="1"/>
    <col min="10" max="10" width="22.109375" style="75" customWidth="1"/>
    <col min="11" max="11" width="26.6640625" style="75" customWidth="1"/>
    <col min="12" max="12" width="27.33203125" style="75" customWidth="1"/>
    <col min="13" max="13" width="15.44140625" style="75" customWidth="1"/>
    <col min="14" max="14" width="13.33203125" style="75" customWidth="1"/>
    <col min="15" max="15" width="22.33203125" style="75" customWidth="1"/>
    <col min="16" max="16" width="13.44140625" style="542" hidden="1" customWidth="1"/>
    <col min="17" max="17" width="10" style="75" hidden="1" customWidth="1"/>
    <col min="18" max="18" width="8.6640625" style="75" hidden="1" customWidth="1"/>
    <col min="19" max="19" width="19.88671875" style="75" hidden="1" customWidth="1"/>
    <col min="20" max="20" width="12.109375" style="75" hidden="1" customWidth="1"/>
    <col min="21" max="21" width="11" style="75" hidden="1" customWidth="1"/>
    <col min="22" max="22" width="12.6640625" style="75" hidden="1" customWidth="1"/>
    <col min="23" max="23" width="10.6640625" style="75" hidden="1" customWidth="1"/>
    <col min="24" max="24" width="11.33203125" style="75" hidden="1" customWidth="1"/>
    <col min="25" max="25" width="8.6640625" style="75" customWidth="1"/>
    <col min="26" max="16384" width="8.6640625" style="75"/>
  </cols>
  <sheetData>
    <row r="1" spans="1:228">
      <c r="A1" s="947"/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</row>
    <row r="2" spans="1:228">
      <c r="A2" s="947"/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</row>
    <row r="3" spans="1:228">
      <c r="A3" s="947"/>
      <c r="B3" s="947"/>
      <c r="C3" s="947"/>
      <c r="D3" s="947"/>
      <c r="E3" s="947"/>
      <c r="F3" s="947"/>
      <c r="G3" s="947"/>
      <c r="H3" s="947"/>
      <c r="I3" s="947"/>
      <c r="J3" s="947"/>
      <c r="K3" s="947"/>
      <c r="L3" s="947"/>
      <c r="M3" s="947"/>
      <c r="N3" s="947"/>
      <c r="O3" s="947"/>
    </row>
    <row r="4" spans="1:228">
      <c r="A4" s="947"/>
      <c r="B4" s="947"/>
      <c r="C4" s="947"/>
      <c r="D4" s="947"/>
      <c r="E4" s="947"/>
      <c r="F4" s="947"/>
      <c r="G4" s="947"/>
      <c r="H4" s="947"/>
      <c r="I4" s="947"/>
      <c r="J4" s="947"/>
      <c r="K4" s="947"/>
      <c r="L4" s="947"/>
      <c r="M4" s="947"/>
      <c r="N4" s="947"/>
      <c r="O4" s="947"/>
    </row>
    <row r="5" spans="1:228" ht="40.5" customHeight="1">
      <c r="A5" s="947"/>
      <c r="B5" s="947"/>
      <c r="C5" s="947"/>
      <c r="D5" s="947"/>
      <c r="E5" s="947"/>
      <c r="F5" s="947"/>
      <c r="G5" s="947"/>
      <c r="H5" s="947"/>
      <c r="I5" s="947"/>
      <c r="J5" s="947"/>
      <c r="K5" s="947"/>
      <c r="L5" s="947"/>
      <c r="M5" s="947"/>
      <c r="N5" s="947"/>
      <c r="O5" s="947"/>
    </row>
    <row r="6" spans="1:228">
      <c r="A6" s="947"/>
      <c r="B6" s="947"/>
      <c r="C6" s="947"/>
      <c r="D6" s="947"/>
      <c r="E6" s="947"/>
      <c r="F6" s="947"/>
      <c r="G6" s="947"/>
      <c r="H6" s="947"/>
      <c r="I6" s="947"/>
      <c r="J6" s="947"/>
      <c r="K6" s="947"/>
      <c r="L6" s="947"/>
      <c r="M6" s="947"/>
      <c r="N6" s="947"/>
      <c r="O6" s="947"/>
    </row>
    <row r="7" spans="1:228" ht="26.25" customHeight="1" thickBot="1">
      <c r="A7" s="948"/>
      <c r="B7" s="948"/>
      <c r="C7" s="948"/>
      <c r="D7" s="948"/>
      <c r="E7" s="948"/>
      <c r="F7" s="948"/>
      <c r="G7" s="948"/>
      <c r="H7" s="948"/>
      <c r="I7" s="948"/>
      <c r="J7" s="948"/>
      <c r="K7" s="948"/>
      <c r="L7" s="948"/>
      <c r="M7" s="948"/>
      <c r="N7" s="948"/>
      <c r="O7" s="948"/>
    </row>
    <row r="8" spans="1:228" ht="40.5" customHeight="1">
      <c r="A8" s="950" t="s">
        <v>427</v>
      </c>
      <c r="B8" s="950"/>
      <c r="C8" s="950"/>
      <c r="D8" s="950"/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111"/>
      <c r="P8" s="543"/>
      <c r="Q8" s="84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</row>
    <row r="9" spans="1:228" ht="22.8">
      <c r="A9" s="82"/>
      <c r="B9" s="82"/>
      <c r="C9" s="82"/>
      <c r="D9" s="82"/>
      <c r="E9" s="82"/>
      <c r="F9" s="82"/>
      <c r="G9" s="82"/>
      <c r="J9" s="83"/>
      <c r="N9" s="303" t="s">
        <v>319</v>
      </c>
      <c r="O9" s="447">
        <v>42464</v>
      </c>
    </row>
    <row r="10" spans="1:228" ht="96" customHeight="1">
      <c r="A10" s="931" t="s">
        <v>184</v>
      </c>
      <c r="B10" s="921" t="s">
        <v>164</v>
      </c>
      <c r="C10" s="922"/>
      <c r="D10" s="922"/>
      <c r="E10" s="923"/>
      <c r="F10" s="931" t="s">
        <v>71</v>
      </c>
      <c r="G10" s="931" t="s">
        <v>75</v>
      </c>
      <c r="H10" s="931" t="s">
        <v>76</v>
      </c>
      <c r="I10" s="951" t="s">
        <v>193</v>
      </c>
      <c r="J10" s="952"/>
      <c r="K10" s="956" t="s">
        <v>355</v>
      </c>
      <c r="L10" s="956"/>
      <c r="M10" s="956"/>
      <c r="N10" s="956"/>
      <c r="O10" s="956"/>
      <c r="P10" s="538" t="s">
        <v>570</v>
      </c>
    </row>
    <row r="11" spans="1:228" ht="28.5" customHeight="1">
      <c r="A11" s="931"/>
      <c r="B11" s="961"/>
      <c r="C11" s="962"/>
      <c r="D11" s="962"/>
      <c r="E11" s="963"/>
      <c r="F11" s="931"/>
      <c r="G11" s="931"/>
      <c r="H11" s="931"/>
      <c r="I11" s="953"/>
      <c r="J11" s="954"/>
      <c r="K11" s="955" t="s">
        <v>227</v>
      </c>
      <c r="L11" s="955"/>
      <c r="M11" s="955"/>
      <c r="N11" s="955"/>
      <c r="O11" s="955"/>
      <c r="P11" s="540"/>
    </row>
    <row r="12" spans="1:228" ht="59.25" customHeight="1">
      <c r="A12" s="973"/>
      <c r="B12" s="964" t="s">
        <v>50</v>
      </c>
      <c r="C12" s="965"/>
      <c r="D12" s="965"/>
      <c r="E12" s="966"/>
      <c r="F12" s="292" t="s">
        <v>567</v>
      </c>
      <c r="G12" s="293" t="s">
        <v>44</v>
      </c>
      <c r="H12" s="294">
        <v>20.2</v>
      </c>
      <c r="I12" s="974">
        <f>ROUND(P12*(1-$B$76),2)</f>
        <v>4025</v>
      </c>
      <c r="J12" s="975"/>
      <c r="K12" s="870">
        <f>(I12+X30+X37*2)/2.5</f>
        <v>1896.8</v>
      </c>
      <c r="L12" s="870"/>
      <c r="M12" s="870"/>
      <c r="N12" s="870"/>
      <c r="O12" s="870"/>
      <c r="P12" s="541">
        <v>4025</v>
      </c>
      <c r="Q12" s="537"/>
      <c r="Y12" s="536"/>
    </row>
    <row r="13" spans="1:228" ht="54" customHeight="1">
      <c r="A13" s="973"/>
      <c r="B13" s="967"/>
      <c r="C13" s="968"/>
      <c r="D13" s="968"/>
      <c r="E13" s="969"/>
      <c r="F13" s="300" t="s">
        <v>568</v>
      </c>
      <c r="G13" s="301" t="s">
        <v>44</v>
      </c>
      <c r="H13" s="302">
        <v>27.63</v>
      </c>
      <c r="I13" s="957">
        <f t="shared" ref="I13:I14" si="0">ROUND(P13*(1-$B$76),2)</f>
        <v>4772</v>
      </c>
      <c r="J13" s="958"/>
      <c r="K13" s="870">
        <f>(I13+X33+X37*2)/2.5</f>
        <v>2268</v>
      </c>
      <c r="L13" s="870"/>
      <c r="M13" s="870"/>
      <c r="N13" s="870"/>
      <c r="O13" s="870"/>
      <c r="P13" s="541">
        <v>4772</v>
      </c>
      <c r="Q13" s="537"/>
      <c r="Y13" s="536"/>
    </row>
    <row r="14" spans="1:228" ht="57.75" customHeight="1">
      <c r="A14" s="973"/>
      <c r="B14" s="970"/>
      <c r="C14" s="971"/>
      <c r="D14" s="971"/>
      <c r="E14" s="972"/>
      <c r="F14" s="295" t="s">
        <v>569</v>
      </c>
      <c r="G14" s="296" t="s">
        <v>44</v>
      </c>
      <c r="H14" s="297">
        <v>35.06</v>
      </c>
      <c r="I14" s="959">
        <f t="shared" si="0"/>
        <v>5122</v>
      </c>
      <c r="J14" s="960"/>
      <c r="K14" s="870">
        <f>(I14+X35+X37*2)/2.5</f>
        <v>2432.8000000000002</v>
      </c>
      <c r="L14" s="870"/>
      <c r="M14" s="870"/>
      <c r="N14" s="870"/>
      <c r="O14" s="870"/>
      <c r="P14" s="541">
        <v>5122</v>
      </c>
      <c r="Q14" s="537"/>
      <c r="Y14" s="536"/>
    </row>
    <row r="15" spans="1:228" ht="18" customHeight="1">
      <c r="A15" s="161"/>
      <c r="B15" s="162"/>
      <c r="C15" s="162"/>
      <c r="D15" s="162"/>
      <c r="E15" s="162"/>
      <c r="F15" s="163"/>
      <c r="G15" s="164"/>
      <c r="H15" s="165"/>
      <c r="I15" s="166"/>
      <c r="J15" s="166"/>
      <c r="K15" s="160"/>
      <c r="L15" s="160"/>
      <c r="M15" s="160"/>
      <c r="N15" s="160"/>
      <c r="P15" s="540"/>
    </row>
    <row r="16" spans="1:228" ht="51" customHeight="1">
      <c r="A16" s="599" t="s">
        <v>184</v>
      </c>
      <c r="B16" s="862" t="s">
        <v>164</v>
      </c>
      <c r="C16" s="863"/>
      <c r="D16" s="862" t="s">
        <v>29</v>
      </c>
      <c r="E16" s="869"/>
      <c r="F16" s="869"/>
      <c r="G16" s="863"/>
      <c r="H16" s="599" t="s">
        <v>53</v>
      </c>
      <c r="I16" s="599" t="s">
        <v>89</v>
      </c>
      <c r="J16" s="599" t="s">
        <v>28</v>
      </c>
      <c r="K16" s="949" t="s">
        <v>227</v>
      </c>
      <c r="L16" s="949"/>
      <c r="M16" s="949"/>
      <c r="N16" s="949"/>
      <c r="O16" s="949"/>
      <c r="P16" s="540"/>
      <c r="Q16" s="872" t="s">
        <v>238</v>
      </c>
      <c r="R16" s="872"/>
      <c r="S16" s="23" t="str">
        <f>'Модульные ограждения GL'!D51</f>
        <v>84*48*2500</v>
      </c>
      <c r="T16" s="778">
        <f>'Модульные ограждения GL'!E51</f>
        <v>154</v>
      </c>
      <c r="U16" s="187">
        <f>'Модульные ограждения GL'!F51</f>
        <v>3.3</v>
      </c>
      <c r="V16" s="818" t="s">
        <v>333</v>
      </c>
      <c r="W16" s="815">
        <f>'Модульные ограждения GL'!H51</f>
        <v>1</v>
      </c>
      <c r="X16" s="244">
        <f>'Модульные ограждения GL'!I51</f>
        <v>494</v>
      </c>
      <c r="Y16" s="190"/>
    </row>
    <row r="17" spans="1:27" ht="85.5" customHeight="1">
      <c r="A17" s="1015"/>
      <c r="B17" s="875" t="s">
        <v>31</v>
      </c>
      <c r="C17" s="864" t="s">
        <v>524</v>
      </c>
      <c r="D17" s="856" t="s">
        <v>303</v>
      </c>
      <c r="E17" s="857"/>
      <c r="F17" s="857"/>
      <c r="G17" s="858"/>
      <c r="H17" s="442" t="s">
        <v>30</v>
      </c>
      <c r="I17" s="883" t="s">
        <v>195</v>
      </c>
      <c r="J17" s="878" t="s">
        <v>26</v>
      </c>
      <c r="K17" s="870">
        <f>(X16+X18+X19+X20+X26*4)/2.5</f>
        <v>847.2</v>
      </c>
      <c r="L17" s="870"/>
      <c r="M17" s="870"/>
      <c r="N17" s="870"/>
      <c r="O17" s="870"/>
      <c r="P17" s="540"/>
      <c r="Q17" s="872"/>
      <c r="R17" s="872"/>
      <c r="S17" s="25" t="str">
        <f>'Модульные ограждения GL'!D52</f>
        <v xml:space="preserve">84*48*3000 </v>
      </c>
      <c r="T17" s="779"/>
      <c r="U17" s="188">
        <f>'Модульные ограждения GL'!F52</f>
        <v>3.96</v>
      </c>
      <c r="V17" s="818"/>
      <c r="W17" s="815">
        <f>'Модульные ограждения GL'!H52</f>
        <v>0</v>
      </c>
      <c r="X17" s="245">
        <f>'Модульные ограждения GL'!I52</f>
        <v>593</v>
      </c>
      <c r="Y17" s="190"/>
    </row>
    <row r="18" spans="1:27" ht="81" customHeight="1">
      <c r="A18" s="1016"/>
      <c r="B18" s="876"/>
      <c r="C18" s="865"/>
      <c r="D18" s="859"/>
      <c r="E18" s="860"/>
      <c r="F18" s="860"/>
      <c r="G18" s="861"/>
      <c r="H18" s="442" t="s">
        <v>519</v>
      </c>
      <c r="I18" s="884"/>
      <c r="J18" s="879"/>
      <c r="K18" s="870">
        <f>(X16+X18+X19+X21+X26*4)/2.5</f>
        <v>996</v>
      </c>
      <c r="L18" s="870"/>
      <c r="M18" s="870"/>
      <c r="N18" s="870"/>
      <c r="O18" s="870"/>
      <c r="P18" s="540"/>
      <c r="Q18" s="872" t="s">
        <v>220</v>
      </c>
      <c r="R18" s="872"/>
      <c r="S18" s="185" t="str">
        <f>'Модульные ограждения GL'!D49</f>
        <v xml:space="preserve">60*20*2500 </v>
      </c>
      <c r="T18" s="185">
        <f>'Модульные ограждения GL'!E49</f>
        <v>162</v>
      </c>
      <c r="U18" s="186">
        <f>'Модульные ограждения GL'!F49</f>
        <v>3.3</v>
      </c>
      <c r="V18" s="234" t="s">
        <v>333</v>
      </c>
      <c r="W18" s="233">
        <f>'Модульные ограждения GL'!H49</f>
        <v>1</v>
      </c>
      <c r="X18" s="232">
        <f>'Модульные ограждения GL'!I49</f>
        <v>470</v>
      </c>
      <c r="Y18" s="190"/>
    </row>
    <row r="19" spans="1:27" ht="69" customHeight="1">
      <c r="A19" s="1016"/>
      <c r="B19" s="876"/>
      <c r="C19" s="873" t="s">
        <v>509</v>
      </c>
      <c r="D19" s="856" t="s">
        <v>526</v>
      </c>
      <c r="E19" s="857"/>
      <c r="F19" s="857"/>
      <c r="G19" s="858"/>
      <c r="H19" s="457" t="s">
        <v>30</v>
      </c>
      <c r="I19" s="884"/>
      <c r="J19" s="879"/>
      <c r="K19" s="866">
        <f>ROUND((X20+X23+X24+X22+(X26*2))*(1-$B$58),2)</f>
        <v>2092.8000000000002</v>
      </c>
      <c r="L19" s="867"/>
      <c r="M19" s="867"/>
      <c r="N19" s="867"/>
      <c r="O19" s="868"/>
      <c r="P19" s="540"/>
      <c r="Q19" s="881" t="s">
        <v>245</v>
      </c>
      <c r="R19" s="882"/>
      <c r="S19" s="454" t="str">
        <f>'Модульные ограждения GL'!D56</f>
        <v>100*87*20</v>
      </c>
      <c r="T19" s="454">
        <f>'Модульные ограждения GL'!E56</f>
        <v>80</v>
      </c>
      <c r="U19" s="453">
        <f>'Модульные ограждения GL'!F56</f>
        <v>0.02</v>
      </c>
      <c r="V19" s="453" t="s">
        <v>332</v>
      </c>
      <c r="W19" s="452">
        <f>'Модульные ограждения GL'!H56</f>
        <v>0.5</v>
      </c>
      <c r="X19" s="451">
        <f>'Модульные ограждения GL'!I56</f>
        <v>37</v>
      </c>
      <c r="Y19" s="190"/>
    </row>
    <row r="20" spans="1:27" ht="73.5" customHeight="1">
      <c r="A20" s="1017"/>
      <c r="B20" s="877"/>
      <c r="C20" s="874"/>
      <c r="D20" s="859"/>
      <c r="E20" s="860"/>
      <c r="F20" s="860"/>
      <c r="G20" s="861"/>
      <c r="H20" s="457" t="s">
        <v>519</v>
      </c>
      <c r="I20" s="885"/>
      <c r="J20" s="880"/>
      <c r="K20" s="866">
        <f>ROUND((X21+X23+X25+X22+(X26*2))*(1-$B$58),2)</f>
        <v>2539.1999999999998</v>
      </c>
      <c r="L20" s="867"/>
      <c r="M20" s="867"/>
      <c r="N20" s="867"/>
      <c r="O20" s="868"/>
      <c r="P20" s="540"/>
      <c r="Q20" s="881" t="s">
        <v>30</v>
      </c>
      <c r="R20" s="882"/>
      <c r="S20" s="517" t="str">
        <f>'Панельные ограждения GL (стр.1)'!B33</f>
        <v>0,63*2,5**</v>
      </c>
      <c r="T20" s="462"/>
      <c r="U20" s="463"/>
      <c r="V20" s="463"/>
      <c r="W20" s="464"/>
      <c r="X20" s="451">
        <f>'Панельные ограждения GL (стр.1)'!F33</f>
        <v>761</v>
      </c>
      <c r="Y20" s="190"/>
    </row>
    <row r="21" spans="1:27" ht="28.5" customHeight="1">
      <c r="A21" s="78"/>
      <c r="B21" s="86"/>
      <c r="C21" s="86"/>
      <c r="D21" s="86"/>
      <c r="E21" s="86"/>
      <c r="F21" s="87"/>
      <c r="G21" s="88"/>
      <c r="H21" s="89"/>
      <c r="I21" s="89"/>
      <c r="J21" s="90"/>
      <c r="K21" s="90"/>
      <c r="L21" s="90"/>
      <c r="M21" s="90"/>
      <c r="N21" s="90"/>
      <c r="O21" s="89"/>
      <c r="P21" s="540"/>
      <c r="Q21" s="881" t="s">
        <v>519</v>
      </c>
      <c r="R21" s="882"/>
      <c r="S21" s="517" t="str">
        <f>'Панельные ограждения GL (стр.1)'!B65</f>
        <v>0,63*2,5**</v>
      </c>
      <c r="T21" s="459"/>
      <c r="U21" s="460"/>
      <c r="V21" s="460"/>
      <c r="W21" s="461"/>
      <c r="X21" s="455">
        <f>'Панельные ограждения GL (стр.1)'!G65</f>
        <v>1133</v>
      </c>
      <c r="Y21" s="190"/>
    </row>
    <row r="22" spans="1:27" ht="68.400000000000006">
      <c r="A22" s="600" t="s">
        <v>184</v>
      </c>
      <c r="B22" s="931" t="s">
        <v>164</v>
      </c>
      <c r="C22" s="931"/>
      <c r="D22" s="931"/>
      <c r="E22" s="600" t="s">
        <v>463</v>
      </c>
      <c r="F22" s="600" t="s">
        <v>72</v>
      </c>
      <c r="G22" s="600" t="s">
        <v>73</v>
      </c>
      <c r="H22" s="600" t="s">
        <v>74</v>
      </c>
      <c r="I22" s="1022" t="s">
        <v>8</v>
      </c>
      <c r="J22" s="1023"/>
      <c r="K22" s="949" t="s">
        <v>81</v>
      </c>
      <c r="L22" s="949"/>
      <c r="M22" s="949"/>
      <c r="N22" s="949"/>
      <c r="O22" s="949"/>
      <c r="P22" s="540"/>
      <c r="Q22" s="881" t="s">
        <v>574</v>
      </c>
      <c r="R22" s="882"/>
      <c r="S22" s="578" t="s">
        <v>575</v>
      </c>
      <c r="T22" s="578">
        <f>'Эл-ты панельных ограждений'!G30</f>
        <v>96</v>
      </c>
      <c r="U22" s="577">
        <f>'Эл-ты панельных ограждений'!F30</f>
        <v>2.94</v>
      </c>
      <c r="V22" s="463"/>
      <c r="W22" s="464"/>
      <c r="X22" s="576">
        <f>'Эл-ты панельных ограждений'!H30</f>
        <v>500</v>
      </c>
      <c r="Y22" s="190"/>
    </row>
    <row r="23" spans="1:27" ht="34.5" customHeight="1">
      <c r="A23" s="1028"/>
      <c r="B23" s="864" t="s">
        <v>352</v>
      </c>
      <c r="C23" s="908"/>
      <c r="D23" s="909"/>
      <c r="E23" s="875" t="s">
        <v>464</v>
      </c>
      <c r="F23" s="283">
        <v>2.2000000000000002</v>
      </c>
      <c r="G23" s="284" t="s">
        <v>83</v>
      </c>
      <c r="H23" s="283" t="s">
        <v>82</v>
      </c>
      <c r="I23" s="940">
        <v>6</v>
      </c>
      <c r="J23" s="941"/>
      <c r="K23" s="871">
        <f>ROUND(1420*(1-$B$76),2)</f>
        <v>1420</v>
      </c>
      <c r="L23" s="871"/>
      <c r="M23" s="871"/>
      <c r="N23" s="871"/>
      <c r="O23" s="871"/>
      <c r="P23" s="540"/>
      <c r="Q23" s="881" t="s">
        <v>573</v>
      </c>
      <c r="R23" s="882"/>
      <c r="S23" s="578" t="str">
        <f>'Модульные ограждения GL'!D33</f>
        <v xml:space="preserve">40*20*2500  </v>
      </c>
      <c r="T23" s="578">
        <f>'Модульные ограждения GL'!E33</f>
        <v>180</v>
      </c>
      <c r="U23" s="577">
        <f>'Модульные ограждения GL'!F33</f>
        <v>3</v>
      </c>
      <c r="V23" s="463"/>
      <c r="W23" s="464"/>
      <c r="X23" s="576">
        <f>'Модульные ограждения GL'!I33</f>
        <v>418</v>
      </c>
      <c r="Y23" s="190"/>
    </row>
    <row r="24" spans="1:27" ht="34.5" customHeight="1">
      <c r="A24" s="1028"/>
      <c r="B24" s="910"/>
      <c r="C24" s="911"/>
      <c r="D24" s="912"/>
      <c r="E24" s="876"/>
      <c r="F24" s="283">
        <v>2.2000000000000002</v>
      </c>
      <c r="G24" s="284" t="s">
        <v>84</v>
      </c>
      <c r="H24" s="283" t="s">
        <v>82</v>
      </c>
      <c r="I24" s="940">
        <v>7</v>
      </c>
      <c r="J24" s="941"/>
      <c r="K24" s="871">
        <f>ROUND(1700*(1-$B$76),2)</f>
        <v>1700</v>
      </c>
      <c r="L24" s="871"/>
      <c r="M24" s="871"/>
      <c r="N24" s="871"/>
      <c r="O24" s="871"/>
      <c r="P24" s="540"/>
      <c r="Q24" s="915" t="s">
        <v>576</v>
      </c>
      <c r="R24" s="916"/>
      <c r="S24" s="916"/>
      <c r="T24" s="916"/>
      <c r="U24" s="916"/>
      <c r="V24" s="916"/>
      <c r="W24" s="917"/>
      <c r="X24" s="579">
        <f>(X20+X23)*0.2</f>
        <v>235.8</v>
      </c>
    </row>
    <row r="25" spans="1:27" ht="33" customHeight="1">
      <c r="A25" s="1028"/>
      <c r="B25" s="910"/>
      <c r="C25" s="911"/>
      <c r="D25" s="912"/>
      <c r="E25" s="876"/>
      <c r="F25" s="283">
        <v>2.2000000000000002</v>
      </c>
      <c r="G25" s="284" t="s">
        <v>85</v>
      </c>
      <c r="H25" s="283" t="s">
        <v>82</v>
      </c>
      <c r="I25" s="940">
        <v>22</v>
      </c>
      <c r="J25" s="941"/>
      <c r="K25" s="871">
        <f>ROUND(5290*(1-$B$76),2)</f>
        <v>5290</v>
      </c>
      <c r="L25" s="871"/>
      <c r="M25" s="871"/>
      <c r="N25" s="871"/>
      <c r="O25" s="871"/>
      <c r="P25" s="540"/>
      <c r="Q25" s="915" t="s">
        <v>577</v>
      </c>
      <c r="R25" s="916"/>
      <c r="S25" s="916"/>
      <c r="T25" s="916"/>
      <c r="U25" s="916"/>
      <c r="V25" s="916"/>
      <c r="W25" s="917"/>
      <c r="X25" s="579">
        <f>(X21+X23)*0.2</f>
        <v>310.20000000000005</v>
      </c>
    </row>
    <row r="26" spans="1:27" ht="33" customHeight="1">
      <c r="A26" s="1028"/>
      <c r="B26" s="910"/>
      <c r="C26" s="911"/>
      <c r="D26" s="912"/>
      <c r="E26" s="876"/>
      <c r="F26" s="283">
        <v>2.2000000000000002</v>
      </c>
      <c r="G26" s="284" t="s">
        <v>86</v>
      </c>
      <c r="H26" s="283" t="s">
        <v>82</v>
      </c>
      <c r="I26" s="940">
        <v>26</v>
      </c>
      <c r="J26" s="941"/>
      <c r="K26" s="871">
        <f>ROUND(6260*(1-$B$76),2)</f>
        <v>6260</v>
      </c>
      <c r="L26" s="871"/>
      <c r="M26" s="871"/>
      <c r="N26" s="871"/>
      <c r="O26" s="871"/>
      <c r="P26" s="540"/>
      <c r="Q26" s="886" t="s">
        <v>299</v>
      </c>
      <c r="R26" s="887"/>
      <c r="S26" s="339" t="s">
        <v>44</v>
      </c>
      <c r="T26" s="340"/>
      <c r="U26" s="341">
        <f>'Эл-ты панельных ограждений'!F55</f>
        <v>0.08</v>
      </c>
      <c r="V26" s="853">
        <f>'Эл-ты панельных ограждений'!G55</f>
        <v>100</v>
      </c>
      <c r="W26" s="854">
        <f>'Эл-ты панельных ограждений'!H55</f>
        <v>89</v>
      </c>
      <c r="X26" s="246">
        <f>'Эл-ты панельных ограждений'!I55</f>
        <v>89</v>
      </c>
      <c r="Y26" s="191"/>
      <c r="Z26" s="191"/>
      <c r="AA26" s="190"/>
    </row>
    <row r="27" spans="1:27" ht="36" customHeight="1">
      <c r="A27" s="1028"/>
      <c r="B27" s="865"/>
      <c r="C27" s="913"/>
      <c r="D27" s="914"/>
      <c r="E27" s="877"/>
      <c r="F27" s="283">
        <v>2.2000000000000002</v>
      </c>
      <c r="G27" s="284" t="s">
        <v>87</v>
      </c>
      <c r="H27" s="283" t="s">
        <v>82</v>
      </c>
      <c r="I27" s="940">
        <v>29</v>
      </c>
      <c r="J27" s="941"/>
      <c r="K27" s="871">
        <f>ROUND(6900*(1-$B$76),2)</f>
        <v>6900</v>
      </c>
      <c r="L27" s="871"/>
      <c r="M27" s="871"/>
      <c r="N27" s="871"/>
      <c r="O27" s="871"/>
      <c r="P27" s="540"/>
      <c r="Q27" s="886" t="s">
        <v>571</v>
      </c>
      <c r="R27" s="887"/>
      <c r="S27" s="465"/>
      <c r="T27" s="465"/>
      <c r="U27" s="420">
        <f>'Эл-ты панельных ограждений'!F53</f>
        <v>0.05</v>
      </c>
      <c r="V27" s="1013">
        <v>0.05</v>
      </c>
      <c r="W27" s="1014"/>
      <c r="X27" s="246">
        <f>'Эл-ты панельных ограждений'!I53</f>
        <v>51</v>
      </c>
      <c r="Y27" s="191"/>
      <c r="Z27" s="191"/>
      <c r="AA27" s="190"/>
    </row>
    <row r="28" spans="1:27" ht="48.75" customHeight="1">
      <c r="A28" s="1028"/>
      <c r="B28" s="864" t="s">
        <v>353</v>
      </c>
      <c r="C28" s="908"/>
      <c r="D28" s="343" t="s">
        <v>433</v>
      </c>
      <c r="E28" s="875" t="s">
        <v>465</v>
      </c>
      <c r="F28" s="285">
        <v>2.5</v>
      </c>
      <c r="G28" s="286" t="s">
        <v>87</v>
      </c>
      <c r="H28" s="285" t="s">
        <v>88</v>
      </c>
      <c r="I28" s="945">
        <v>46</v>
      </c>
      <c r="J28" s="946"/>
      <c r="K28" s="871">
        <f>ROUND(10500*(1-$B$76),2)</f>
        <v>10500</v>
      </c>
      <c r="L28" s="871"/>
      <c r="M28" s="871"/>
      <c r="N28" s="871"/>
      <c r="O28" s="871"/>
      <c r="P28" s="540"/>
      <c r="Q28" s="1005" t="s">
        <v>2</v>
      </c>
      <c r="R28" s="1006"/>
      <c r="S28" s="778" t="s">
        <v>49</v>
      </c>
      <c r="T28" s="778">
        <v>96</v>
      </c>
      <c r="U28" s="818">
        <v>2.64</v>
      </c>
      <c r="V28" s="231" t="s">
        <v>334</v>
      </c>
      <c r="W28" s="721">
        <v>1.4</v>
      </c>
      <c r="X28" s="244">
        <f>'Модульные ограждения GL'!I35</f>
        <v>321</v>
      </c>
      <c r="Y28" s="190"/>
      <c r="Z28" s="191"/>
    </row>
    <row r="29" spans="1:27" ht="46.5" customHeight="1">
      <c r="A29" s="1028"/>
      <c r="B29" s="910"/>
      <c r="C29" s="911"/>
      <c r="D29" s="343" t="s">
        <v>434</v>
      </c>
      <c r="E29" s="876"/>
      <c r="F29" s="287">
        <v>3</v>
      </c>
      <c r="G29" s="288" t="s">
        <v>87</v>
      </c>
      <c r="H29" s="287" t="s">
        <v>88</v>
      </c>
      <c r="I29" s="906">
        <v>73</v>
      </c>
      <c r="J29" s="907"/>
      <c r="K29" s="871">
        <f>ROUND(15600*(1-$B$76),2)</f>
        <v>15600</v>
      </c>
      <c r="L29" s="871"/>
      <c r="M29" s="871"/>
      <c r="N29" s="871"/>
      <c r="O29" s="871"/>
      <c r="P29" s="540"/>
      <c r="Q29" s="1007"/>
      <c r="R29" s="1008"/>
      <c r="S29" s="779"/>
      <c r="T29" s="855"/>
      <c r="U29" s="818"/>
      <c r="V29" s="234" t="s">
        <v>332</v>
      </c>
      <c r="W29" s="722"/>
      <c r="X29" s="245">
        <f>'Модульные ограждения GL'!I36</f>
        <v>428</v>
      </c>
      <c r="Y29" s="190"/>
      <c r="Z29" s="191"/>
    </row>
    <row r="30" spans="1:27" ht="46.5" customHeight="1">
      <c r="A30" s="1028"/>
      <c r="B30" s="910"/>
      <c r="C30" s="911"/>
      <c r="D30" s="944" t="s">
        <v>435</v>
      </c>
      <c r="E30" s="876"/>
      <c r="F30" s="345">
        <v>2.1</v>
      </c>
      <c r="G30" s="346" t="s">
        <v>86</v>
      </c>
      <c r="H30" s="345" t="s">
        <v>82</v>
      </c>
      <c r="I30" s="1031">
        <v>28</v>
      </c>
      <c r="J30" s="1032"/>
      <c r="K30" s="871">
        <f>ROUND(6260*(1-$B$76),2)</f>
        <v>6260</v>
      </c>
      <c r="L30" s="871"/>
      <c r="M30" s="871"/>
      <c r="N30" s="871"/>
      <c r="O30" s="871"/>
      <c r="P30" s="540"/>
      <c r="Q30" s="1007"/>
      <c r="R30" s="1008"/>
      <c r="S30" s="437" t="s">
        <v>506</v>
      </c>
      <c r="T30" s="855"/>
      <c r="U30" s="329"/>
      <c r="V30" s="234" t="s">
        <v>332</v>
      </c>
      <c r="W30" s="722"/>
      <c r="X30" s="245">
        <f>'Модульные ограждения GL'!I38</f>
        <v>623</v>
      </c>
      <c r="Y30" s="190"/>
      <c r="Z30" s="191"/>
    </row>
    <row r="31" spans="1:27" ht="46.5" customHeight="1">
      <c r="A31" s="1028"/>
      <c r="B31" s="865"/>
      <c r="C31" s="913"/>
      <c r="D31" s="944"/>
      <c r="E31" s="877"/>
      <c r="F31" s="347">
        <v>2.1</v>
      </c>
      <c r="G31" s="348" t="s">
        <v>87</v>
      </c>
      <c r="H31" s="347" t="s">
        <v>82</v>
      </c>
      <c r="I31" s="942">
        <v>31.2</v>
      </c>
      <c r="J31" s="943"/>
      <c r="K31" s="1000">
        <f>ROUND(6900*(1-$B$76),2)</f>
        <v>6900</v>
      </c>
      <c r="L31" s="1001"/>
      <c r="M31" s="1001"/>
      <c r="N31" s="1001"/>
      <c r="O31" s="1002"/>
      <c r="P31" s="540"/>
      <c r="Q31" s="1007"/>
      <c r="R31" s="1008"/>
      <c r="S31" s="778" t="s">
        <v>189</v>
      </c>
      <c r="T31" s="855"/>
      <c r="U31" s="832">
        <v>5.28</v>
      </c>
      <c r="V31" s="636" t="s">
        <v>334</v>
      </c>
      <c r="W31" s="722"/>
      <c r="X31" s="850">
        <f>'Модульные ограждения GL'!I39</f>
        <v>563</v>
      </c>
      <c r="Y31" s="190"/>
      <c r="Z31" s="191"/>
    </row>
    <row r="32" spans="1:27" ht="76.5" customHeight="1">
      <c r="A32" s="1028"/>
      <c r="B32" s="903" t="s">
        <v>430</v>
      </c>
      <c r="C32" s="904"/>
      <c r="D32" s="905"/>
      <c r="E32" s="398" t="s">
        <v>466</v>
      </c>
      <c r="F32" s="285">
        <v>2.1</v>
      </c>
      <c r="G32" s="286" t="s">
        <v>77</v>
      </c>
      <c r="H32" s="285" t="s">
        <v>78</v>
      </c>
      <c r="I32" s="1029">
        <v>12.6</v>
      </c>
      <c r="J32" s="1030"/>
      <c r="K32" s="1000">
        <f>ROUND(2600*(1-$B$76),2)</f>
        <v>2600</v>
      </c>
      <c r="L32" s="1001"/>
      <c r="M32" s="1001"/>
      <c r="N32" s="1001"/>
      <c r="O32" s="1002"/>
      <c r="P32" s="540"/>
      <c r="Q32" s="1007"/>
      <c r="R32" s="1008"/>
      <c r="S32" s="855"/>
      <c r="T32" s="855"/>
      <c r="U32" s="1003"/>
      <c r="V32" s="637"/>
      <c r="W32" s="722"/>
      <c r="X32" s="851"/>
      <c r="Y32" s="190"/>
      <c r="Z32" s="191"/>
    </row>
    <row r="33" spans="1:26" ht="115.5" customHeight="1">
      <c r="A33" s="277"/>
      <c r="B33" s="903" t="s">
        <v>354</v>
      </c>
      <c r="C33" s="904"/>
      <c r="D33" s="905"/>
      <c r="E33" s="399" t="s">
        <v>44</v>
      </c>
      <c r="F33" s="918" t="s">
        <v>44</v>
      </c>
      <c r="G33" s="919"/>
      <c r="H33" s="920"/>
      <c r="I33" s="901" t="s">
        <v>44</v>
      </c>
      <c r="J33" s="902"/>
      <c r="K33" s="898">
        <f>ROUND(20*(1-$B$76),2)</f>
        <v>20</v>
      </c>
      <c r="L33" s="899"/>
      <c r="M33" s="899"/>
      <c r="N33" s="899"/>
      <c r="O33" s="900"/>
      <c r="P33" s="540"/>
      <c r="Q33" s="1007"/>
      <c r="R33" s="1008"/>
      <c r="S33" s="855"/>
      <c r="T33" s="855"/>
      <c r="U33" s="1003"/>
      <c r="V33" s="832" t="s">
        <v>332</v>
      </c>
      <c r="W33" s="722"/>
      <c r="X33" s="850">
        <f>'Модульные ограждения GL'!I40</f>
        <v>804</v>
      </c>
      <c r="Y33" s="190"/>
      <c r="Z33" s="191"/>
    </row>
    <row r="34" spans="1:26" ht="21">
      <c r="A34" s="146"/>
      <c r="B34" s="147"/>
      <c r="C34" s="147"/>
      <c r="D34" s="147"/>
      <c r="E34" s="147"/>
      <c r="F34" s="147"/>
      <c r="G34" s="147"/>
      <c r="H34" s="147"/>
      <c r="I34" s="147"/>
      <c r="J34" s="148"/>
      <c r="K34" s="88"/>
      <c r="L34" s="88"/>
      <c r="M34" s="88"/>
      <c r="N34" s="88"/>
      <c r="O34" s="155"/>
      <c r="P34" s="540"/>
      <c r="Q34" s="1007"/>
      <c r="R34" s="1008"/>
      <c r="S34" s="779"/>
      <c r="T34" s="855"/>
      <c r="U34" s="833"/>
      <c r="V34" s="833"/>
      <c r="W34" s="722"/>
      <c r="X34" s="852"/>
      <c r="Y34" s="190"/>
      <c r="Z34" s="191"/>
    </row>
    <row r="35" spans="1:26" ht="45.6">
      <c r="A35" s="600" t="s">
        <v>184</v>
      </c>
      <c r="B35" s="921" t="s">
        <v>164</v>
      </c>
      <c r="C35" s="922"/>
      <c r="D35" s="922"/>
      <c r="E35" s="923"/>
      <c r="F35" s="931" t="s">
        <v>89</v>
      </c>
      <c r="G35" s="931"/>
      <c r="H35" s="600" t="s">
        <v>90</v>
      </c>
      <c r="I35" s="1022" t="s">
        <v>200</v>
      </c>
      <c r="J35" s="1023"/>
      <c r="K35" s="949" t="s">
        <v>81</v>
      </c>
      <c r="L35" s="949"/>
      <c r="M35" s="949"/>
      <c r="N35" s="949"/>
      <c r="O35" s="949"/>
      <c r="P35" s="540"/>
      <c r="Q35" s="1007"/>
      <c r="R35" s="1008"/>
      <c r="S35" s="519" t="s">
        <v>507</v>
      </c>
      <c r="T35" s="855"/>
      <c r="U35" s="518">
        <v>6.6</v>
      </c>
      <c r="V35" s="275" t="s">
        <v>332</v>
      </c>
      <c r="W35" s="722"/>
      <c r="X35" s="244">
        <v>866</v>
      </c>
      <c r="Y35" s="190"/>
      <c r="Z35" s="191"/>
    </row>
    <row r="36" spans="1:26" ht="62.25" customHeight="1">
      <c r="A36" s="1034"/>
      <c r="B36" s="1034" t="s">
        <v>484</v>
      </c>
      <c r="C36" s="1034"/>
      <c r="D36" s="1033" t="s">
        <v>480</v>
      </c>
      <c r="E36" s="1033"/>
      <c r="F36" s="1024" t="s">
        <v>483</v>
      </c>
      <c r="G36" s="896"/>
      <c r="H36" s="390">
        <v>7</v>
      </c>
      <c r="I36" s="924">
        <v>1</v>
      </c>
      <c r="J36" s="925"/>
      <c r="K36" s="1027">
        <f>ROUND((M37*2+M36)*(1-$B$58),2)</f>
        <v>2212</v>
      </c>
      <c r="L36" s="1027"/>
      <c r="M36" s="1025">
        <f>ROUND(P36*(1-$B$58),2)</f>
        <v>1324</v>
      </c>
      <c r="N36" s="1025"/>
      <c r="O36" s="1026"/>
      <c r="P36" s="541">
        <v>1324</v>
      </c>
      <c r="Q36" s="1009"/>
      <c r="R36" s="1010"/>
      <c r="S36" s="519" t="s">
        <v>572</v>
      </c>
      <c r="T36" s="779"/>
      <c r="U36" s="463">
        <v>6.7</v>
      </c>
      <c r="V36" s="234" t="s">
        <v>332</v>
      </c>
      <c r="W36" s="723"/>
      <c r="X36" s="245">
        <f>'Модульные ограждения GL'!I44</f>
        <v>1166</v>
      </c>
      <c r="Y36" s="190"/>
      <c r="Z36" s="191"/>
    </row>
    <row r="37" spans="1:26" ht="62.25" customHeight="1">
      <c r="A37" s="1034"/>
      <c r="B37" s="1034"/>
      <c r="C37" s="1034"/>
      <c r="D37" s="1033" t="s">
        <v>481</v>
      </c>
      <c r="E37" s="1033"/>
      <c r="F37" s="926" t="s">
        <v>482</v>
      </c>
      <c r="G37" s="927"/>
      <c r="H37" s="390">
        <v>3.2</v>
      </c>
      <c r="I37" s="924">
        <v>2</v>
      </c>
      <c r="J37" s="925"/>
      <c r="K37" s="1027"/>
      <c r="L37" s="1027"/>
      <c r="M37" s="1025">
        <f>ROUND(P37*(1-$B$58),2)</f>
        <v>444</v>
      </c>
      <c r="N37" s="1025"/>
      <c r="O37" s="1026"/>
      <c r="P37" s="541">
        <v>444</v>
      </c>
      <c r="Q37" s="1004" t="s">
        <v>250</v>
      </c>
      <c r="R37" s="1004"/>
      <c r="S37" s="185" t="str">
        <f>'Модульные ограждения GL'!D58</f>
        <v>60*20*110</v>
      </c>
      <c r="T37" s="517">
        <f>'Модульные ограждения GL'!E58</f>
        <v>100</v>
      </c>
      <c r="U37" s="516">
        <f>'Модульные ограждения GL'!F58</f>
        <v>0.13700000000000001</v>
      </c>
      <c r="V37" s="231" t="s">
        <v>334</v>
      </c>
      <c r="W37" s="580">
        <f>'Модульные ограждения GL'!H58</f>
        <v>1.4</v>
      </c>
      <c r="X37" s="581">
        <f>'Модульные ограждения GL'!I58</f>
        <v>47</v>
      </c>
      <c r="Y37" s="190"/>
      <c r="Z37" s="191"/>
    </row>
    <row r="38" spans="1:26" ht="65.25" customHeight="1">
      <c r="A38" s="289"/>
      <c r="B38" s="888" t="s">
        <v>27</v>
      </c>
      <c r="C38" s="889"/>
      <c r="D38" s="889"/>
      <c r="E38" s="890"/>
      <c r="F38" s="897" t="s">
        <v>91</v>
      </c>
      <c r="G38" s="897"/>
      <c r="H38" s="290">
        <v>40</v>
      </c>
      <c r="I38" s="892">
        <v>33</v>
      </c>
      <c r="J38" s="893"/>
      <c r="K38" s="870">
        <f>ROUND(665*(1-$B$58),2)</f>
        <v>665</v>
      </c>
      <c r="L38" s="870"/>
      <c r="M38" s="870"/>
      <c r="N38" s="870"/>
      <c r="O38" s="870"/>
      <c r="P38" s="541">
        <v>665</v>
      </c>
      <c r="Q38" s="539"/>
      <c r="R38" s="539"/>
      <c r="S38" s="403"/>
      <c r="T38" s="403"/>
      <c r="U38" s="404"/>
      <c r="V38" s="405"/>
      <c r="W38" s="406"/>
      <c r="X38" s="407"/>
    </row>
    <row r="39" spans="1:26" ht="57.75" customHeight="1">
      <c r="A39" s="291"/>
      <c r="B39" s="894" t="s">
        <v>321</v>
      </c>
      <c r="C39" s="895"/>
      <c r="D39" s="895"/>
      <c r="E39" s="896"/>
      <c r="F39" s="891" t="s">
        <v>320</v>
      </c>
      <c r="G39" s="891"/>
      <c r="H39" s="290" t="s">
        <v>44</v>
      </c>
      <c r="I39" s="892" t="s">
        <v>44</v>
      </c>
      <c r="J39" s="893"/>
      <c r="K39" s="870">
        <f>ROUND(60*(1-$B$58),2)</f>
        <v>60</v>
      </c>
      <c r="L39" s="870"/>
      <c r="M39" s="870"/>
      <c r="N39" s="870"/>
      <c r="O39" s="870"/>
      <c r="P39" s="541">
        <v>66</v>
      </c>
      <c r="Q39" s="539"/>
      <c r="R39" s="539"/>
      <c r="S39" s="403"/>
      <c r="T39" s="403"/>
      <c r="U39" s="404"/>
      <c r="V39" s="405"/>
      <c r="W39" s="406"/>
      <c r="X39" s="407"/>
    </row>
    <row r="40" spans="1:26" ht="15.6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540"/>
    </row>
    <row r="41" spans="1:26" ht="21">
      <c r="A41" s="150"/>
      <c r="B41" s="149"/>
      <c r="C41" s="157"/>
      <c r="D41" s="157"/>
      <c r="E41" s="157"/>
      <c r="F41" s="157"/>
      <c r="G41" s="157"/>
      <c r="H41" s="158"/>
      <c r="I41" s="158"/>
      <c r="J41" s="87"/>
      <c r="K41" s="88"/>
      <c r="L41" s="89"/>
      <c r="M41" s="159"/>
      <c r="N41" s="160"/>
      <c r="P41" s="540"/>
    </row>
    <row r="42" spans="1:26" ht="22.8">
      <c r="A42" s="921" t="s">
        <v>184</v>
      </c>
      <c r="B42" s="922"/>
      <c r="C42" s="922"/>
      <c r="D42" s="922"/>
      <c r="E42" s="923"/>
      <c r="F42" s="921" t="s">
        <v>66</v>
      </c>
      <c r="G42" s="923"/>
      <c r="H42" s="931" t="s">
        <v>489</v>
      </c>
      <c r="I42" s="935" t="s">
        <v>515</v>
      </c>
      <c r="J42" s="1011" t="s">
        <v>200</v>
      </c>
      <c r="K42" s="862" t="s">
        <v>194</v>
      </c>
      <c r="L42" s="869"/>
      <c r="M42" s="869"/>
      <c r="N42" s="869"/>
      <c r="O42" s="863"/>
      <c r="P42" s="540"/>
    </row>
    <row r="43" spans="1:26" ht="63.75" customHeight="1">
      <c r="A43" s="1035"/>
      <c r="B43" s="1036"/>
      <c r="C43" s="1036"/>
      <c r="D43" s="1036"/>
      <c r="E43" s="1037"/>
      <c r="F43" s="1035"/>
      <c r="G43" s="1037"/>
      <c r="H43" s="931"/>
      <c r="I43" s="936"/>
      <c r="J43" s="1038"/>
      <c r="K43" s="929" t="s">
        <v>523</v>
      </c>
      <c r="L43" s="930"/>
      <c r="M43" s="929" t="s">
        <v>340</v>
      </c>
      <c r="N43" s="930"/>
      <c r="O43" s="1011" t="s">
        <v>520</v>
      </c>
      <c r="P43" s="540"/>
    </row>
    <row r="44" spans="1:26" ht="27.75" customHeight="1">
      <c r="A44" s="961"/>
      <c r="B44" s="962"/>
      <c r="C44" s="962"/>
      <c r="D44" s="962"/>
      <c r="E44" s="963"/>
      <c r="F44" s="961"/>
      <c r="G44" s="963"/>
      <c r="H44" s="931"/>
      <c r="I44" s="937"/>
      <c r="J44" s="1012"/>
      <c r="K44" s="601" t="s">
        <v>338</v>
      </c>
      <c r="L44" s="602" t="s">
        <v>339</v>
      </c>
      <c r="M44" s="929" t="s">
        <v>338</v>
      </c>
      <c r="N44" s="930"/>
      <c r="O44" s="1012"/>
      <c r="P44" s="540"/>
    </row>
    <row r="45" spans="1:26" ht="30.75" customHeight="1">
      <c r="A45" s="994"/>
      <c r="B45" s="994"/>
      <c r="C45" s="994"/>
      <c r="D45" s="994"/>
      <c r="E45" s="994"/>
      <c r="F45" s="983" t="s">
        <v>341</v>
      </c>
      <c r="G45" s="983"/>
      <c r="H45" s="932" t="s">
        <v>521</v>
      </c>
      <c r="I45" s="934" t="s">
        <v>511</v>
      </c>
      <c r="J45" s="878">
        <v>10</v>
      </c>
      <c r="K45" s="983" t="s">
        <v>44</v>
      </c>
      <c r="L45" s="983" t="s">
        <v>44</v>
      </c>
      <c r="M45" s="1018">
        <f>ROUND(72*(1-$C$76),2)</f>
        <v>72</v>
      </c>
      <c r="N45" s="1019"/>
      <c r="O45" s="999">
        <f>ROUND(89*(1-$K$76),2)</f>
        <v>89</v>
      </c>
      <c r="P45" s="540"/>
    </row>
    <row r="46" spans="1:26" ht="28.5" customHeight="1">
      <c r="A46" s="995"/>
      <c r="B46" s="995"/>
      <c r="C46" s="995"/>
      <c r="D46" s="995"/>
      <c r="E46" s="995"/>
      <c r="F46" s="983"/>
      <c r="G46" s="983"/>
      <c r="H46" s="933"/>
      <c r="I46" s="934"/>
      <c r="J46" s="879"/>
      <c r="K46" s="983"/>
      <c r="L46" s="983"/>
      <c r="M46" s="1020"/>
      <c r="N46" s="1021"/>
      <c r="O46" s="999"/>
      <c r="P46" s="540"/>
    </row>
    <row r="47" spans="1:26" ht="72" customHeight="1">
      <c r="A47" s="995"/>
      <c r="B47" s="995"/>
      <c r="C47" s="995"/>
      <c r="D47" s="995"/>
      <c r="E47" s="995"/>
      <c r="F47" s="997" t="s">
        <v>525</v>
      </c>
      <c r="G47" s="998"/>
      <c r="H47" s="449" t="s">
        <v>487</v>
      </c>
      <c r="I47" s="456" t="s">
        <v>511</v>
      </c>
      <c r="J47" s="879"/>
      <c r="K47" s="457" t="s">
        <v>44</v>
      </c>
      <c r="L47" s="457" t="s">
        <v>44</v>
      </c>
      <c r="M47" s="938">
        <f>ROUND(70*(1-$C$76),2)</f>
        <v>70</v>
      </c>
      <c r="N47" s="939"/>
      <c r="O47" s="458">
        <f>ROUND(94*(1-$K$76),2)</f>
        <v>94</v>
      </c>
      <c r="P47" s="540"/>
    </row>
    <row r="48" spans="1:26" ht="56.25" customHeight="1">
      <c r="A48" s="995"/>
      <c r="B48" s="995"/>
      <c r="C48" s="995"/>
      <c r="D48" s="995"/>
      <c r="E48" s="995"/>
      <c r="F48" s="984" t="s">
        <v>342</v>
      </c>
      <c r="G48" s="985"/>
      <c r="H48" s="449" t="s">
        <v>522</v>
      </c>
      <c r="I48" s="436" t="s">
        <v>512</v>
      </c>
      <c r="J48" s="879"/>
      <c r="K48" s="342" t="s">
        <v>44</v>
      </c>
      <c r="L48" s="298" t="s">
        <v>44</v>
      </c>
      <c r="M48" s="938">
        <f>ROUND(104*(1-$C$76),2)</f>
        <v>104</v>
      </c>
      <c r="N48" s="939"/>
      <c r="O48" s="299">
        <f>ROUND(139*(1-$K$76),2)</f>
        <v>139</v>
      </c>
      <c r="P48" s="540"/>
    </row>
    <row r="49" spans="1:17" ht="71.25" customHeight="1">
      <c r="A49" s="995"/>
      <c r="B49" s="995"/>
      <c r="C49" s="995"/>
      <c r="D49" s="995"/>
      <c r="E49" s="995"/>
      <c r="F49" s="928" t="s">
        <v>488</v>
      </c>
      <c r="G49" s="928"/>
      <c r="H49" s="449" t="s">
        <v>487</v>
      </c>
      <c r="I49" s="450" t="s">
        <v>514</v>
      </c>
      <c r="J49" s="879"/>
      <c r="K49" s="342">
        <f>ROUND(78*(1-$H$76),2)</f>
        <v>78</v>
      </c>
      <c r="L49" s="298">
        <f>ROUND(81*(1-$H$76),2)</f>
        <v>81</v>
      </c>
      <c r="M49" s="938" t="s">
        <v>44</v>
      </c>
      <c r="N49" s="939"/>
      <c r="O49" s="441" t="s">
        <v>44</v>
      </c>
      <c r="P49" s="540"/>
    </row>
    <row r="50" spans="1:17" ht="62.25" customHeight="1">
      <c r="A50" s="995"/>
      <c r="B50" s="995"/>
      <c r="C50" s="995"/>
      <c r="D50" s="995"/>
      <c r="E50" s="995"/>
      <c r="F50" s="928" t="s">
        <v>343</v>
      </c>
      <c r="G50" s="928"/>
      <c r="H50" s="449" t="s">
        <v>487</v>
      </c>
      <c r="I50" s="349" t="s">
        <v>511</v>
      </c>
      <c r="J50" s="879"/>
      <c r="K50" s="298">
        <f>ROUND(83*(1-$H$76),2)</f>
        <v>83</v>
      </c>
      <c r="L50" s="298">
        <f>ROUND(86*(1-$H$76),2)</f>
        <v>86</v>
      </c>
      <c r="M50" s="938" t="s">
        <v>44</v>
      </c>
      <c r="N50" s="939"/>
      <c r="O50" s="299" t="s">
        <v>44</v>
      </c>
      <c r="P50" s="540"/>
    </row>
    <row r="51" spans="1:17" ht="63.75" customHeight="1">
      <c r="A51" s="995"/>
      <c r="B51" s="995"/>
      <c r="C51" s="995"/>
      <c r="D51" s="995"/>
      <c r="E51" s="995"/>
      <c r="F51" s="928" t="s">
        <v>344</v>
      </c>
      <c r="G51" s="928"/>
      <c r="H51" s="449" t="s">
        <v>487</v>
      </c>
      <c r="I51" s="436" t="s">
        <v>512</v>
      </c>
      <c r="J51" s="879"/>
      <c r="K51" s="298">
        <f>ROUND(168*(1-$H$76),2)</f>
        <v>168</v>
      </c>
      <c r="L51" s="298">
        <f>ROUND(171*(1-$H$76),2)</f>
        <v>171</v>
      </c>
      <c r="M51" s="938" t="s">
        <v>44</v>
      </c>
      <c r="N51" s="939"/>
      <c r="O51" s="299" t="s">
        <v>44</v>
      </c>
      <c r="P51" s="540"/>
    </row>
    <row r="52" spans="1:17" ht="66.75" customHeight="1">
      <c r="A52" s="996"/>
      <c r="B52" s="996"/>
      <c r="C52" s="996"/>
      <c r="D52" s="996"/>
      <c r="E52" s="996"/>
      <c r="F52" s="928" t="s">
        <v>501</v>
      </c>
      <c r="G52" s="928"/>
      <c r="H52" s="449" t="s">
        <v>487</v>
      </c>
      <c r="I52" s="450" t="s">
        <v>513</v>
      </c>
      <c r="J52" s="880"/>
      <c r="K52" s="298">
        <f>ROUND(110*(1-$H$76),2)</f>
        <v>110</v>
      </c>
      <c r="L52" s="298">
        <f>ROUND(113*(1-$H$76),2)</f>
        <v>113</v>
      </c>
      <c r="M52" s="938" t="s">
        <v>44</v>
      </c>
      <c r="N52" s="939"/>
      <c r="O52" s="430" t="s">
        <v>44</v>
      </c>
      <c r="P52" s="540"/>
    </row>
    <row r="53" spans="1:17" ht="44.25" customHeight="1">
      <c r="A53" s="993" t="s">
        <v>436</v>
      </c>
      <c r="B53" s="889"/>
      <c r="C53" s="889"/>
      <c r="D53" s="889"/>
      <c r="E53" s="889"/>
      <c r="F53" s="889"/>
      <c r="G53" s="889"/>
      <c r="H53" s="890"/>
      <c r="I53" s="429" t="s">
        <v>500</v>
      </c>
      <c r="J53" s="349">
        <v>250</v>
      </c>
      <c r="K53" s="990">
        <f>ROUND(4*(1-$N$76),2)</f>
        <v>4</v>
      </c>
      <c r="L53" s="991"/>
      <c r="M53" s="991"/>
      <c r="N53" s="991"/>
      <c r="O53" s="992"/>
      <c r="P53" s="540"/>
    </row>
    <row r="54" spans="1:17" ht="18.75" customHeight="1">
      <c r="A54" s="352"/>
      <c r="B54" s="352"/>
      <c r="C54" s="352"/>
      <c r="D54" s="352"/>
      <c r="E54" s="402"/>
      <c r="F54" s="353"/>
      <c r="J54" s="276"/>
      <c r="K54" s="271"/>
      <c r="L54" s="271"/>
      <c r="M54" s="272"/>
      <c r="N54" s="273"/>
      <c r="O54" s="273"/>
    </row>
    <row r="55" spans="1:17" ht="22.8">
      <c r="A55" s="304" t="s">
        <v>362</v>
      </c>
      <c r="B55" s="79"/>
      <c r="C55" s="79"/>
      <c r="D55" s="79"/>
      <c r="E55" s="79"/>
      <c r="J55" s="81"/>
      <c r="K55" s="81"/>
      <c r="L55" s="81"/>
      <c r="M55" s="270"/>
      <c r="N55" s="269"/>
      <c r="O55" s="269"/>
    </row>
    <row r="56" spans="1:17" ht="22.8">
      <c r="A56" s="318" t="s">
        <v>363</v>
      </c>
      <c r="B56" s="79"/>
      <c r="C56" s="79"/>
      <c r="D56" s="79"/>
      <c r="E56" s="79"/>
      <c r="J56" s="81"/>
      <c r="K56" s="81"/>
      <c r="L56" s="81"/>
      <c r="M56" s="270"/>
      <c r="N56" s="269"/>
      <c r="O56" s="269"/>
    </row>
    <row r="57" spans="1:17" ht="26.4">
      <c r="A57" s="316" t="s">
        <v>502</v>
      </c>
      <c r="B57" s="79"/>
      <c r="C57" s="79"/>
      <c r="D57" s="79"/>
      <c r="E57" s="79"/>
      <c r="I57" s="315"/>
      <c r="J57" s="81"/>
      <c r="K57" s="81"/>
      <c r="L57" s="81"/>
      <c r="M57" s="270"/>
      <c r="N57" s="269"/>
      <c r="O57" s="269"/>
      <c r="Q57" s="152"/>
    </row>
    <row r="58" spans="1:17" ht="22.8">
      <c r="A58" s="316" t="s">
        <v>361</v>
      </c>
      <c r="B58" s="79"/>
      <c r="C58" s="79"/>
      <c r="D58" s="79"/>
      <c r="E58" s="79"/>
      <c r="F58" s="156"/>
      <c r="G58" s="156"/>
      <c r="H58" s="151"/>
      <c r="J58" s="81"/>
      <c r="K58" s="81"/>
      <c r="L58" s="81"/>
      <c r="M58" s="270"/>
      <c r="N58" s="269"/>
      <c r="O58" s="269"/>
      <c r="Q58" s="152"/>
    </row>
    <row r="59" spans="1:17" ht="22.8">
      <c r="A59" s="316"/>
      <c r="B59" s="79"/>
      <c r="C59" s="79"/>
      <c r="D59" s="79"/>
      <c r="E59" s="79"/>
      <c r="F59" s="156"/>
      <c r="G59" s="156"/>
      <c r="H59" s="151"/>
      <c r="J59" s="81"/>
      <c r="K59" s="81"/>
      <c r="L59" s="81"/>
      <c r="M59" s="270"/>
      <c r="N59" s="269"/>
      <c r="O59" s="269"/>
      <c r="Q59" s="152"/>
    </row>
    <row r="60" spans="1:17" ht="22.8">
      <c r="A60" s="316" t="s">
        <v>516</v>
      </c>
      <c r="B60" s="79"/>
      <c r="C60" s="79"/>
      <c r="D60" s="79"/>
      <c r="E60" s="79"/>
      <c r="F60" s="156"/>
      <c r="G60" s="156"/>
      <c r="H60" s="151"/>
      <c r="J60" s="81"/>
      <c r="K60" s="81"/>
      <c r="L60" s="81"/>
      <c r="M60" s="270"/>
      <c r="N60" s="269"/>
      <c r="O60" s="269"/>
      <c r="Q60" s="152"/>
    </row>
    <row r="61" spans="1:17" ht="22.8">
      <c r="A61" s="316" t="s">
        <v>517</v>
      </c>
      <c r="B61" s="79"/>
      <c r="C61" s="79"/>
      <c r="D61" s="79"/>
      <c r="E61" s="79"/>
      <c r="F61" s="156"/>
      <c r="G61" s="156"/>
      <c r="H61" s="151"/>
      <c r="J61" s="81"/>
      <c r="K61" s="81"/>
      <c r="L61" s="81"/>
      <c r="M61" s="270"/>
      <c r="N61" s="269"/>
      <c r="O61" s="269"/>
      <c r="Q61" s="152"/>
    </row>
    <row r="62" spans="1:17" ht="22.8">
      <c r="A62" s="316" t="s">
        <v>518</v>
      </c>
      <c r="Q62" s="152"/>
    </row>
    <row r="63" spans="1:17" ht="22.8">
      <c r="A63" s="316"/>
      <c r="B63" s="79"/>
      <c r="C63" s="79"/>
      <c r="D63" s="79"/>
      <c r="E63" s="79"/>
      <c r="F63" s="156"/>
      <c r="G63" s="156"/>
      <c r="H63" s="151"/>
      <c r="J63" s="81"/>
      <c r="K63" s="81"/>
      <c r="L63" s="81"/>
      <c r="M63" s="270"/>
      <c r="N63" s="269"/>
      <c r="O63" s="269"/>
      <c r="Q63" s="152"/>
    </row>
    <row r="64" spans="1:17" ht="22.8">
      <c r="A64" s="305" t="s">
        <v>290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544"/>
    </row>
    <row r="65" spans="1:17" ht="22.8">
      <c r="A65" s="305" t="s">
        <v>432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544"/>
      <c r="Q65" s="152"/>
    </row>
    <row r="66" spans="1:17" ht="22.8">
      <c r="A66" s="344" t="s">
        <v>431</v>
      </c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544"/>
      <c r="Q66" s="153"/>
    </row>
    <row r="67" spans="1:17" ht="22.8">
      <c r="A67" s="305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544"/>
      <c r="Q67" s="153"/>
    </row>
    <row r="68" spans="1:17" ht="22.8">
      <c r="A68" s="305" t="s">
        <v>495</v>
      </c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545"/>
      <c r="Q68" s="153"/>
    </row>
    <row r="69" spans="1:17" ht="22.8">
      <c r="A69" s="305" t="s">
        <v>306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545"/>
      <c r="Q69" s="153"/>
    </row>
    <row r="70" spans="1:17" ht="22.8">
      <c r="A70" s="305" t="s">
        <v>305</v>
      </c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544"/>
      <c r="Q70" s="153"/>
    </row>
    <row r="71" spans="1:17" ht="22.8">
      <c r="A71" s="305" t="s">
        <v>304</v>
      </c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544"/>
      <c r="Q71" s="153"/>
    </row>
    <row r="72" spans="1:17" ht="18.75" customHeight="1">
      <c r="A72" s="36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544"/>
      <c r="Q72" s="154"/>
    </row>
    <row r="73" spans="1:17" ht="19.5" customHeight="1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544"/>
      <c r="Q73" s="154"/>
    </row>
    <row r="74" spans="1:17" ht="21.75" customHeight="1">
      <c r="A74" s="40"/>
      <c r="B74" s="92"/>
      <c r="C74" s="92"/>
      <c r="D74" s="92"/>
      <c r="E74" s="92"/>
      <c r="G74" s="145"/>
      <c r="H74" s="145"/>
      <c r="I74" s="145"/>
      <c r="J74" s="92"/>
      <c r="K74" s="92"/>
      <c r="L74" s="92"/>
      <c r="M74" s="92"/>
      <c r="N74" s="92"/>
      <c r="O74" s="92"/>
      <c r="P74" s="544"/>
      <c r="Q74" s="154"/>
    </row>
    <row r="75" spans="1:17" ht="41.25" customHeight="1">
      <c r="A75" s="841" t="s">
        <v>62</v>
      </c>
      <c r="B75" s="603" t="s">
        <v>149</v>
      </c>
      <c r="C75" s="977" t="s">
        <v>349</v>
      </c>
      <c r="D75" s="978"/>
      <c r="E75" s="978"/>
      <c r="F75" s="978"/>
      <c r="G75" s="979"/>
      <c r="H75" s="977" t="s">
        <v>350</v>
      </c>
      <c r="I75" s="978"/>
      <c r="J75" s="978"/>
      <c r="K75" s="986" t="s">
        <v>79</v>
      </c>
      <c r="L75" s="986"/>
      <c r="M75" s="986"/>
      <c r="N75" s="988" t="s">
        <v>177</v>
      </c>
      <c r="O75" s="989"/>
      <c r="P75" s="544"/>
      <c r="Q75" s="154"/>
    </row>
    <row r="76" spans="1:17" ht="46.5" customHeight="1">
      <c r="A76" s="841"/>
      <c r="B76" s="354">
        <v>0</v>
      </c>
      <c r="C76" s="980">
        <v>0</v>
      </c>
      <c r="D76" s="981"/>
      <c r="E76" s="981"/>
      <c r="F76" s="981"/>
      <c r="G76" s="982"/>
      <c r="H76" s="980">
        <v>0</v>
      </c>
      <c r="I76" s="981"/>
      <c r="J76" s="981"/>
      <c r="K76" s="987">
        <v>0</v>
      </c>
      <c r="L76" s="987"/>
      <c r="M76" s="987"/>
      <c r="N76" s="980">
        <v>0</v>
      </c>
      <c r="O76" s="982"/>
      <c r="P76" s="544"/>
      <c r="Q76" s="154"/>
    </row>
    <row r="77" spans="1:17" ht="20.25" customHeight="1">
      <c r="Q77" s="92"/>
    </row>
    <row r="78" spans="1:17" ht="21">
      <c r="Q78" s="92"/>
    </row>
    <row r="101" spans="1:15" ht="15.6">
      <c r="A101" s="976"/>
      <c r="B101" s="976"/>
      <c r="C101" s="976"/>
      <c r="D101" s="976"/>
      <c r="E101" s="976"/>
      <c r="F101" s="976"/>
      <c r="G101" s="976"/>
      <c r="H101" s="976"/>
      <c r="I101" s="976"/>
      <c r="J101" s="976"/>
      <c r="K101" s="976"/>
      <c r="L101" s="976"/>
      <c r="M101" s="976"/>
      <c r="N101" s="976"/>
      <c r="O101" s="976"/>
    </row>
    <row r="102" spans="1:1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</sheetData>
  <mergeCells count="161">
    <mergeCell ref="A17:A20"/>
    <mergeCell ref="M44:N44"/>
    <mergeCell ref="M45:N46"/>
    <mergeCell ref="I22:J22"/>
    <mergeCell ref="F36:G36"/>
    <mergeCell ref="B22:D22"/>
    <mergeCell ref="M36:O36"/>
    <mergeCell ref="K36:L37"/>
    <mergeCell ref="F35:G35"/>
    <mergeCell ref="I35:J35"/>
    <mergeCell ref="A23:A32"/>
    <mergeCell ref="I23:J23"/>
    <mergeCell ref="I24:J24"/>
    <mergeCell ref="I32:J32"/>
    <mergeCell ref="I30:J30"/>
    <mergeCell ref="D36:E36"/>
    <mergeCell ref="B36:C37"/>
    <mergeCell ref="A36:A37"/>
    <mergeCell ref="K35:O35"/>
    <mergeCell ref="M37:O37"/>
    <mergeCell ref="D37:E37"/>
    <mergeCell ref="A42:E44"/>
    <mergeCell ref="J42:J44"/>
    <mergeCell ref="F42:G44"/>
    <mergeCell ref="W16:W17"/>
    <mergeCell ref="Q18:R18"/>
    <mergeCell ref="O45:O46"/>
    <mergeCell ref="K32:O32"/>
    <mergeCell ref="K29:O29"/>
    <mergeCell ref="K28:O28"/>
    <mergeCell ref="K27:O27"/>
    <mergeCell ref="K26:O26"/>
    <mergeCell ref="K31:O31"/>
    <mergeCell ref="K22:O22"/>
    <mergeCell ref="U28:U29"/>
    <mergeCell ref="W28:W36"/>
    <mergeCell ref="S31:S34"/>
    <mergeCell ref="U31:U34"/>
    <mergeCell ref="Q37:R37"/>
    <mergeCell ref="Q28:R36"/>
    <mergeCell ref="S28:S29"/>
    <mergeCell ref="Q26:R26"/>
    <mergeCell ref="V31:V32"/>
    <mergeCell ref="K42:O42"/>
    <mergeCell ref="O43:O44"/>
    <mergeCell ref="T16:T17"/>
    <mergeCell ref="V27:W27"/>
    <mergeCell ref="V16:V17"/>
    <mergeCell ref="A101:O101"/>
    <mergeCell ref="A75:A76"/>
    <mergeCell ref="C75:G75"/>
    <mergeCell ref="C76:G76"/>
    <mergeCell ref="H75:J75"/>
    <mergeCell ref="H76:J76"/>
    <mergeCell ref="K45:K46"/>
    <mergeCell ref="L45:L46"/>
    <mergeCell ref="F48:G48"/>
    <mergeCell ref="K75:M75"/>
    <mergeCell ref="K76:M76"/>
    <mergeCell ref="F45:G46"/>
    <mergeCell ref="N75:O75"/>
    <mergeCell ref="N76:O76"/>
    <mergeCell ref="K53:O53"/>
    <mergeCell ref="A53:H53"/>
    <mergeCell ref="F49:G49"/>
    <mergeCell ref="F52:G52"/>
    <mergeCell ref="M49:N49"/>
    <mergeCell ref="M52:N52"/>
    <mergeCell ref="M48:N48"/>
    <mergeCell ref="A45:E52"/>
    <mergeCell ref="F47:G47"/>
    <mergeCell ref="M47:N47"/>
    <mergeCell ref="A1:O7"/>
    <mergeCell ref="K13:O13"/>
    <mergeCell ref="K12:O12"/>
    <mergeCell ref="K16:O16"/>
    <mergeCell ref="K14:O14"/>
    <mergeCell ref="A8:N8"/>
    <mergeCell ref="A10:A11"/>
    <mergeCell ref="F10:F11"/>
    <mergeCell ref="G10:G11"/>
    <mergeCell ref="H10:H11"/>
    <mergeCell ref="I10:J11"/>
    <mergeCell ref="K11:O11"/>
    <mergeCell ref="K10:O10"/>
    <mergeCell ref="I13:J13"/>
    <mergeCell ref="I14:J14"/>
    <mergeCell ref="B10:E11"/>
    <mergeCell ref="B12:E14"/>
    <mergeCell ref="A12:A14"/>
    <mergeCell ref="I12:J12"/>
    <mergeCell ref="I25:J25"/>
    <mergeCell ref="I26:J26"/>
    <mergeCell ref="I27:J27"/>
    <mergeCell ref="I31:J31"/>
    <mergeCell ref="D30:D31"/>
    <mergeCell ref="B28:C31"/>
    <mergeCell ref="B32:D32"/>
    <mergeCell ref="I28:J28"/>
    <mergeCell ref="E23:E27"/>
    <mergeCell ref="E28:E31"/>
    <mergeCell ref="I37:J37"/>
    <mergeCell ref="F50:G50"/>
    <mergeCell ref="F51:G51"/>
    <mergeCell ref="M43:N43"/>
    <mergeCell ref="K43:L43"/>
    <mergeCell ref="J45:J52"/>
    <mergeCell ref="H42:H44"/>
    <mergeCell ref="H45:H46"/>
    <mergeCell ref="I45:I46"/>
    <mergeCell ref="I42:I44"/>
    <mergeCell ref="M50:N50"/>
    <mergeCell ref="M51:N51"/>
    <mergeCell ref="Q20:R20"/>
    <mergeCell ref="Q21:R21"/>
    <mergeCell ref="Q27:R27"/>
    <mergeCell ref="B38:E38"/>
    <mergeCell ref="F39:G39"/>
    <mergeCell ref="I39:J39"/>
    <mergeCell ref="K39:O39"/>
    <mergeCell ref="K38:O38"/>
    <mergeCell ref="B39:E39"/>
    <mergeCell ref="F38:G38"/>
    <mergeCell ref="K23:O23"/>
    <mergeCell ref="K33:O33"/>
    <mergeCell ref="I33:J33"/>
    <mergeCell ref="B33:D33"/>
    <mergeCell ref="I29:J29"/>
    <mergeCell ref="B23:D27"/>
    <mergeCell ref="Q22:R22"/>
    <mergeCell ref="Q24:W24"/>
    <mergeCell ref="Q25:W25"/>
    <mergeCell ref="F33:H33"/>
    <mergeCell ref="B35:E35"/>
    <mergeCell ref="I36:J36"/>
    <mergeCell ref="I38:J38"/>
    <mergeCell ref="F37:G37"/>
    <mergeCell ref="X31:X32"/>
    <mergeCell ref="V33:V34"/>
    <mergeCell ref="X33:X34"/>
    <mergeCell ref="V26:W26"/>
    <mergeCell ref="T28:T36"/>
    <mergeCell ref="D17:G18"/>
    <mergeCell ref="B16:C16"/>
    <mergeCell ref="C17:C18"/>
    <mergeCell ref="K19:O19"/>
    <mergeCell ref="D16:G16"/>
    <mergeCell ref="K17:O17"/>
    <mergeCell ref="K18:O18"/>
    <mergeCell ref="K24:O24"/>
    <mergeCell ref="Q16:R17"/>
    <mergeCell ref="C19:C20"/>
    <mergeCell ref="B17:B20"/>
    <mergeCell ref="K30:O30"/>
    <mergeCell ref="K25:O25"/>
    <mergeCell ref="K20:O20"/>
    <mergeCell ref="J17:J20"/>
    <mergeCell ref="Q23:R23"/>
    <mergeCell ref="I17:I20"/>
    <mergeCell ref="D19:G20"/>
    <mergeCell ref="Q19:R19"/>
  </mergeCells>
  <printOptions horizontalCentered="1"/>
  <pageMargins left="0.15748031496062992" right="0" top="0" bottom="0" header="3.937007874015748E-2" footer="0.11811023622047245"/>
  <pageSetup paperSize="9" scale="28" orientation="portrait" r:id="rId1"/>
  <headerFooter alignWithMargins="0">
    <oddFooter>&amp;R&amp;22Стр. &amp;P из  &amp;N
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R51"/>
  <sheetViews>
    <sheetView showGridLines="0" topLeftCell="A40" zoomScale="30" zoomScaleNormal="30" zoomScaleSheetLayoutView="10" workbookViewId="0">
      <selection activeCell="AB14" sqref="AB14"/>
    </sheetView>
  </sheetViews>
  <sheetFormatPr defaultColWidth="9.109375" defaultRowHeight="20.399999999999999"/>
  <cols>
    <col min="1" max="1" width="74.33203125" style="11" customWidth="1"/>
    <col min="2" max="2" width="44.6640625" style="11" customWidth="1"/>
    <col min="3" max="3" width="39.109375" style="11" customWidth="1"/>
    <col min="4" max="4" width="27.33203125" style="11" customWidth="1"/>
    <col min="5" max="5" width="22.6640625" style="11" customWidth="1"/>
    <col min="6" max="6" width="22" style="11" customWidth="1"/>
    <col min="7" max="7" width="20.5546875" style="11" customWidth="1"/>
    <col min="8" max="8" width="21.5546875" style="11" customWidth="1"/>
    <col min="9" max="9" width="20.88671875" style="11" customWidth="1"/>
    <col min="10" max="10" width="20.5546875" style="11" customWidth="1"/>
    <col min="11" max="13" width="20.88671875" style="11" customWidth="1"/>
    <col min="14" max="14" width="20.5546875" style="11" customWidth="1"/>
    <col min="15" max="15" width="20.88671875" style="11" customWidth="1"/>
    <col min="16" max="16" width="21.5546875" style="11" customWidth="1"/>
    <col min="17" max="17" width="21.33203125" style="11" customWidth="1"/>
    <col min="18" max="18" width="13.88671875" style="11" customWidth="1"/>
    <col min="19" max="16384" width="9.109375" style="11"/>
  </cols>
  <sheetData>
    <row r="1" spans="1:18">
      <c r="A1" s="1041"/>
      <c r="B1" s="1041"/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1041"/>
      <c r="Q1" s="1041"/>
    </row>
    <row r="2" spans="1:18" ht="16.5" customHeight="1">
      <c r="A2" s="1041"/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338"/>
    </row>
    <row r="3" spans="1:18">
      <c r="A3" s="1041"/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  <c r="M3" s="1041"/>
      <c r="N3" s="1041"/>
      <c r="O3" s="1041"/>
      <c r="P3" s="1041"/>
      <c r="Q3" s="1041"/>
      <c r="R3" s="337"/>
    </row>
    <row r="4" spans="1:18" ht="18" customHeight="1">
      <c r="A4" s="1041"/>
      <c r="B4" s="1041"/>
      <c r="C4" s="1041"/>
      <c r="D4" s="1041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338"/>
    </row>
    <row r="5" spans="1:18">
      <c r="A5" s="1041"/>
      <c r="B5" s="1041"/>
      <c r="C5" s="1041"/>
      <c r="D5" s="1041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</row>
    <row r="6" spans="1:18">
      <c r="A6" s="1041"/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1041"/>
      <c r="M6" s="1041"/>
      <c r="N6" s="1041"/>
      <c r="O6" s="1041"/>
      <c r="P6" s="1041"/>
      <c r="Q6" s="1041"/>
    </row>
    <row r="7" spans="1:18" ht="59.25" customHeight="1" thickBot="1">
      <c r="A7" s="1042"/>
      <c r="B7" s="1042"/>
      <c r="C7" s="1042"/>
      <c r="D7" s="1042"/>
      <c r="E7" s="1042"/>
      <c r="F7" s="1042"/>
      <c r="G7" s="1042"/>
      <c r="H7" s="1042"/>
      <c r="I7" s="1042"/>
      <c r="J7" s="1042"/>
      <c r="K7" s="1042"/>
      <c r="L7" s="1042"/>
      <c r="M7" s="1042"/>
      <c r="N7" s="1042"/>
      <c r="O7" s="1042"/>
      <c r="P7" s="1042"/>
      <c r="Q7" s="1042"/>
    </row>
    <row r="8" spans="1:18" ht="51" customHeight="1">
      <c r="A8" s="1039" t="s">
        <v>428</v>
      </c>
      <c r="B8" s="1039"/>
      <c r="C8" s="1039"/>
      <c r="D8" s="1039"/>
      <c r="E8" s="1039"/>
      <c r="F8" s="1039"/>
      <c r="G8" s="1039"/>
      <c r="H8" s="1039"/>
      <c r="I8" s="1039"/>
      <c r="J8" s="1039"/>
      <c r="K8" s="1039"/>
      <c r="L8" s="1039"/>
      <c r="M8" s="1039"/>
      <c r="N8" s="1039"/>
      <c r="O8" s="1039"/>
      <c r="P8" s="1039"/>
      <c r="Q8" s="1039"/>
      <c r="R8" s="66"/>
    </row>
    <row r="9" spans="1:18" ht="30">
      <c r="A9" s="66"/>
      <c r="B9" s="66"/>
      <c r="C9" s="66"/>
      <c r="D9" s="66"/>
      <c r="E9" s="66"/>
      <c r="F9" s="66"/>
      <c r="G9" s="68"/>
      <c r="H9" s="68"/>
      <c r="I9" s="68"/>
      <c r="J9" s="68"/>
      <c r="M9" s="394" t="s">
        <v>163</v>
      </c>
      <c r="O9" s="68"/>
      <c r="P9" s="1040">
        <v>42409</v>
      </c>
      <c r="Q9" s="1040"/>
      <c r="R9" s="68"/>
    </row>
    <row r="10" spans="1:18" ht="33.75" customHeight="1">
      <c r="A10" s="1048" t="s">
        <v>184</v>
      </c>
      <c r="B10" s="1050" t="s">
        <v>52</v>
      </c>
      <c r="C10" s="1050" t="s">
        <v>53</v>
      </c>
      <c r="D10" s="1051" t="s">
        <v>168</v>
      </c>
      <c r="E10" s="1051" t="s">
        <v>169</v>
      </c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</row>
    <row r="11" spans="1:18" ht="33.75" customHeight="1">
      <c r="A11" s="1049"/>
      <c r="B11" s="1050"/>
      <c r="C11" s="1050"/>
      <c r="D11" s="1051"/>
      <c r="E11" s="604">
        <v>3</v>
      </c>
      <c r="F11" s="604">
        <v>3.5</v>
      </c>
      <c r="G11" s="604">
        <v>4</v>
      </c>
      <c r="H11" s="604">
        <v>4.5</v>
      </c>
      <c r="I11" s="604">
        <v>5</v>
      </c>
      <c r="J11" s="604">
        <v>5.5</v>
      </c>
      <c r="K11" s="604">
        <v>6</v>
      </c>
      <c r="L11" s="604">
        <v>6.5</v>
      </c>
      <c r="M11" s="604">
        <v>7</v>
      </c>
      <c r="N11" s="604">
        <v>7.5</v>
      </c>
      <c r="O11" s="604">
        <v>8</v>
      </c>
      <c r="P11" s="604">
        <v>8.5</v>
      </c>
      <c r="Q11" s="604">
        <v>9</v>
      </c>
    </row>
    <row r="12" spans="1:18" ht="65.099999999999994" customHeight="1">
      <c r="A12" s="1043"/>
      <c r="B12" s="1044" t="s">
        <v>56</v>
      </c>
      <c r="C12" s="1045" t="s">
        <v>57</v>
      </c>
      <c r="D12" s="99">
        <v>2.0299999999999998</v>
      </c>
      <c r="E12" s="202">
        <f>ROUND(60246*(1-$E$49),2)</f>
        <v>60246</v>
      </c>
      <c r="F12" s="202">
        <f>ROUND(70287*(1-$E$49),2)</f>
        <v>70287</v>
      </c>
      <c r="G12" s="202">
        <f>ROUND(80328*(1-$E$49),2)</f>
        <v>80328</v>
      </c>
      <c r="H12" s="202">
        <f>ROUND(90368*(1-$E$49),2)</f>
        <v>90368</v>
      </c>
      <c r="I12" s="202">
        <f>ROUND(118128*(1-$E$49),2)</f>
        <v>118128</v>
      </c>
      <c r="J12" s="202">
        <f>ROUND(129941*(1-$E$49),2)</f>
        <v>129941</v>
      </c>
      <c r="K12" s="202">
        <f>ROUND(141754*(1-$E$49),2)</f>
        <v>141754</v>
      </c>
      <c r="L12" s="202">
        <f>ROUND(153566*(1-$E$49),2)</f>
        <v>153566</v>
      </c>
      <c r="M12" s="202">
        <f>ROUND(165379*(1-$E$49),2)</f>
        <v>165379</v>
      </c>
      <c r="N12" s="202">
        <f>ROUND(177192*(1-$E$49),2)</f>
        <v>177192</v>
      </c>
      <c r="O12" s="202">
        <f>ROUND(189005*(1-$E$49),2)</f>
        <v>189005</v>
      </c>
      <c r="P12" s="202">
        <f>ROUND(200818*(1-$E$49),2)</f>
        <v>200818</v>
      </c>
      <c r="Q12" s="202">
        <f>ROUND(212630*(1-$E$49),2)</f>
        <v>212630</v>
      </c>
    </row>
    <row r="13" spans="1:18" ht="65.099999999999994" customHeight="1">
      <c r="A13" s="1043"/>
      <c r="B13" s="1044"/>
      <c r="C13" s="1046"/>
      <c r="D13" s="100">
        <v>2.23</v>
      </c>
      <c r="E13" s="203">
        <f>ROUND(66270*(1-$E$49),2)</f>
        <v>66270</v>
      </c>
      <c r="F13" s="203">
        <f>ROUND(77316*(1-$E$49),2)</f>
        <v>77316</v>
      </c>
      <c r="G13" s="203">
        <f>ROUND(88360*(1-$E$49),2)</f>
        <v>88360</v>
      </c>
      <c r="H13" s="203">
        <f>ROUND(99405*(1-$E$49),2)</f>
        <v>99405</v>
      </c>
      <c r="I13" s="203">
        <f>ROUND(129941*(1-$E$49),2)</f>
        <v>129941</v>
      </c>
      <c r="J13" s="203">
        <f>ROUND(142936*(1-$E$49),2)</f>
        <v>142936</v>
      </c>
      <c r="K13" s="203">
        <f>ROUND(155930*(1-$E$49),2)</f>
        <v>155930</v>
      </c>
      <c r="L13" s="203">
        <f>ROUND(168924*(1-$E$49),2)</f>
        <v>168924</v>
      </c>
      <c r="M13" s="203">
        <f>ROUND(181917*(1-$E$49),2)</f>
        <v>181917</v>
      </c>
      <c r="N13" s="203">
        <f>ROUND(194911*(1-$E$49),2)</f>
        <v>194911</v>
      </c>
      <c r="O13" s="203">
        <f>ROUND(207906*(1-$E$49),2)</f>
        <v>207906</v>
      </c>
      <c r="P13" s="203">
        <f>ROUND(220900*(1-$E$49),2)</f>
        <v>220900</v>
      </c>
      <c r="Q13" s="203">
        <f>ROUND(233894*(1-$E$49),2)</f>
        <v>233894</v>
      </c>
    </row>
    <row r="14" spans="1:18" ht="65.099999999999994" customHeight="1">
      <c r="A14" s="1043"/>
      <c r="B14" s="1044"/>
      <c r="C14" s="1047"/>
      <c r="D14" s="102">
        <v>2.4300000000000002</v>
      </c>
      <c r="E14" s="204">
        <f>ROUND(72897*(1-$E$49),2)</f>
        <v>72897</v>
      </c>
      <c r="F14" s="204">
        <f>ROUND(85047*(1-$E$49),2)</f>
        <v>85047</v>
      </c>
      <c r="G14" s="204">
        <f>ROUND(97197*(1-$E$49),2)</f>
        <v>97197</v>
      </c>
      <c r="H14" s="204">
        <f>ROUND(109345*(1-$E$49),2)</f>
        <v>109345</v>
      </c>
      <c r="I14" s="204">
        <f>ROUND(142936*(1-$E$49),2)</f>
        <v>142936</v>
      </c>
      <c r="J14" s="204">
        <f>ROUND(157229*(1-$E$49),2)</f>
        <v>157229</v>
      </c>
      <c r="K14" s="204">
        <f>ROUND(171523*(1-$E$49),2)</f>
        <v>171523</v>
      </c>
      <c r="L14" s="204">
        <f>ROUND(185816*(1-$E$49),2)</f>
        <v>185816</v>
      </c>
      <c r="M14" s="204">
        <f>ROUND(200109*(1-$E$49),2)</f>
        <v>200109</v>
      </c>
      <c r="N14" s="204">
        <f>ROUND(214403*(1-$E$49),2)</f>
        <v>214403</v>
      </c>
      <c r="O14" s="204">
        <f>ROUND(228696*(1-$E$49),2)</f>
        <v>228696</v>
      </c>
      <c r="P14" s="204">
        <f>ROUND(242990*(1-$E$49),2)</f>
        <v>242990</v>
      </c>
      <c r="Q14" s="204">
        <f>ROUND(257284*(1-$E$49),2)</f>
        <v>257284</v>
      </c>
      <c r="R14" s="38"/>
    </row>
    <row r="15" spans="1:18" ht="65.099999999999994" customHeight="1">
      <c r="A15" s="1052"/>
      <c r="B15" s="1044" t="s">
        <v>51</v>
      </c>
      <c r="C15" s="1045" t="s">
        <v>58</v>
      </c>
      <c r="D15" s="99">
        <v>2.0299999999999998</v>
      </c>
      <c r="E15" s="202">
        <f>ROUND(65667*(1-$E$49),2)</f>
        <v>65667</v>
      </c>
      <c r="F15" s="202">
        <f>ROUND(76613*(1-$E$49),2)</f>
        <v>76613</v>
      </c>
      <c r="G15" s="202">
        <f>ROUND(87556*(1-$E$49),2)</f>
        <v>87556</v>
      </c>
      <c r="H15" s="202">
        <f>ROUND(98502*(1-$E$49),2)</f>
        <v>98502</v>
      </c>
      <c r="I15" s="202">
        <f>ROUND(128760*(1-$E$49),2)</f>
        <v>128760</v>
      </c>
      <c r="J15" s="202">
        <f>ROUND(141636*(1-$E$49),2)</f>
        <v>141636</v>
      </c>
      <c r="K15" s="202">
        <f>ROUND(154462*(1-$E$49),2)</f>
        <v>154462</v>
      </c>
      <c r="L15" s="202">
        <f>ROUND(167388*(1-$E$49),2)</f>
        <v>167388</v>
      </c>
      <c r="M15" s="202">
        <f>ROUND(180264*(1-$E$49),2)</f>
        <v>180264</v>
      </c>
      <c r="N15" s="202">
        <f>ROUND(193140*(1-$E$49),2)</f>
        <v>193140</v>
      </c>
      <c r="O15" s="202">
        <f>ROUND(206016*(1-$E$49),2)</f>
        <v>206016</v>
      </c>
      <c r="P15" s="202">
        <f>ROUND(218892*(1-$E$49),2)</f>
        <v>218892</v>
      </c>
      <c r="Q15" s="202">
        <f>ROUND(231768*(1-$E$49),2)</f>
        <v>231768</v>
      </c>
    </row>
    <row r="16" spans="1:18" ht="65.099999999999994" customHeight="1">
      <c r="A16" s="1052"/>
      <c r="B16" s="1053"/>
      <c r="C16" s="1046"/>
      <c r="D16" s="100">
        <v>2.23</v>
      </c>
      <c r="E16" s="203">
        <f>ROUND(72235*(1-$E$49),2)</f>
        <v>72235</v>
      </c>
      <c r="F16" s="203">
        <f>ROUND(84273*(1-$E$49),2)</f>
        <v>84273</v>
      </c>
      <c r="G16" s="203">
        <f>ROUND(96313*(1-$E$49),2)</f>
        <v>96313</v>
      </c>
      <c r="H16" s="203">
        <f>ROUND(108352*(1-$E$49),2)</f>
        <v>108352</v>
      </c>
      <c r="I16" s="203">
        <f>ROUND(141636*(1-$E$49),2)</f>
        <v>141636</v>
      </c>
      <c r="J16" s="203">
        <f>ROUND(155799*(1-$E$49),2)</f>
        <v>155799</v>
      </c>
      <c r="K16" s="203">
        <f>ROUND(169963*(1-$E$49),2)</f>
        <v>169963</v>
      </c>
      <c r="L16" s="203">
        <f>ROUND(184127*(1-$E$49),2)</f>
        <v>184127</v>
      </c>
      <c r="M16" s="203">
        <f>ROUND(198291*(1-$E$49),2)</f>
        <v>198291</v>
      </c>
      <c r="N16" s="203">
        <f>ROUND(212453*(1-$E$49),2)</f>
        <v>212453</v>
      </c>
      <c r="O16" s="203">
        <f>ROUND(226617*(1-$E$49),2)</f>
        <v>226617</v>
      </c>
      <c r="P16" s="203">
        <f>ROUND(240781*(1-$E$49),2)</f>
        <v>240781</v>
      </c>
      <c r="Q16" s="203">
        <f>ROUND(254945*(1-$E$49),2)</f>
        <v>254945</v>
      </c>
    </row>
    <row r="17" spans="1:18" ht="65.099999999999994" customHeight="1">
      <c r="A17" s="1052"/>
      <c r="B17" s="1053"/>
      <c r="C17" s="1047"/>
      <c r="D17" s="102">
        <v>2.4300000000000002</v>
      </c>
      <c r="E17" s="204">
        <f>ROUND(79458*(1-$E$49),2)</f>
        <v>79458</v>
      </c>
      <c r="F17" s="204">
        <f>ROUND(92702*(1-$E$49),2)</f>
        <v>92702</v>
      </c>
      <c r="G17" s="204">
        <f>ROUND(105944*(1-$E$49),2)</f>
        <v>105944</v>
      </c>
      <c r="H17" s="204">
        <f>ROUND(119187*(1-$E$49),2)</f>
        <v>119187</v>
      </c>
      <c r="I17" s="204">
        <f>ROUND(155799*(1-$E$49),2)</f>
        <v>155799</v>
      </c>
      <c r="J17" s="204">
        <f>ROUND(171380*(1-$E$49),2)</f>
        <v>171380</v>
      </c>
      <c r="K17" s="204">
        <f>ROUND(186959*(1-$E$49),2)</f>
        <v>186959</v>
      </c>
      <c r="L17" s="204">
        <f>ROUND(202539*(1-$E$49),2)</f>
        <v>202539</v>
      </c>
      <c r="M17" s="204">
        <f>ROUND(218119*(1-$E$49),2)</f>
        <v>218119</v>
      </c>
      <c r="N17" s="204">
        <f>ROUND(233700*(1-$E$49),2)</f>
        <v>233700</v>
      </c>
      <c r="O17" s="204">
        <f>ROUND(249279*(1-$E$49),2)</f>
        <v>249279</v>
      </c>
      <c r="P17" s="204">
        <f>ROUND(264859*(1-$E$49),2)</f>
        <v>264859</v>
      </c>
      <c r="Q17" s="204">
        <f>ROUND(280439*(1-$E$49),2)</f>
        <v>280439</v>
      </c>
      <c r="R17" s="66"/>
    </row>
    <row r="18" spans="1:18" ht="20.100000000000001" customHeight="1"/>
    <row r="19" spans="1:18" ht="31.5" customHeight="1">
      <c r="A19" s="1051" t="s">
        <v>184</v>
      </c>
      <c r="B19" s="1063" t="s">
        <v>52</v>
      </c>
      <c r="C19" s="1063" t="s">
        <v>53</v>
      </c>
      <c r="D19" s="1065" t="s">
        <v>168</v>
      </c>
      <c r="E19" s="1051" t="s">
        <v>169</v>
      </c>
      <c r="F19" s="1051"/>
      <c r="H19" s="1054" t="s">
        <v>46</v>
      </c>
      <c r="I19" s="1055"/>
      <c r="J19" s="1055"/>
      <c r="K19" s="1055"/>
      <c r="L19" s="1055"/>
      <c r="M19" s="1055"/>
      <c r="N19" s="1055"/>
      <c r="O19" s="1055"/>
      <c r="P19" s="1055"/>
      <c r="Q19" s="1056"/>
      <c r="R19" s="66"/>
    </row>
    <row r="20" spans="1:18" ht="29.25" customHeight="1">
      <c r="A20" s="1051"/>
      <c r="B20" s="1064"/>
      <c r="C20" s="1064"/>
      <c r="D20" s="1066"/>
      <c r="E20" s="604">
        <v>3.5</v>
      </c>
      <c r="F20" s="604">
        <v>4.5</v>
      </c>
      <c r="H20" s="1057" t="s">
        <v>412</v>
      </c>
      <c r="I20" s="1057"/>
      <c r="J20" s="1057"/>
      <c r="K20" s="1057"/>
      <c r="L20" s="1057"/>
      <c r="M20" s="1057"/>
      <c r="N20" s="1057"/>
      <c r="O20" s="1057"/>
      <c r="P20" s="1057"/>
      <c r="Q20" s="1057"/>
      <c r="R20" s="66"/>
    </row>
    <row r="21" spans="1:18" ht="65.25" customHeight="1">
      <c r="A21" s="1043"/>
      <c r="B21" s="264" t="s">
        <v>54</v>
      </c>
      <c r="C21" s="1058" t="s">
        <v>179</v>
      </c>
      <c r="D21" s="97">
        <v>2</v>
      </c>
      <c r="E21" s="205">
        <f>ROUND(72353*(1-$E$49),2)</f>
        <v>72353</v>
      </c>
      <c r="F21" s="205">
        <f>ROUND(93026*(1-$E$49),2)</f>
        <v>93026</v>
      </c>
      <c r="H21" s="1057"/>
      <c r="I21" s="1057"/>
      <c r="J21" s="1057"/>
      <c r="K21" s="1057"/>
      <c r="L21" s="1057"/>
      <c r="M21" s="1057"/>
      <c r="N21" s="1057"/>
      <c r="O21" s="1057"/>
      <c r="P21" s="1057"/>
      <c r="Q21" s="1057"/>
      <c r="R21" s="66"/>
    </row>
    <row r="22" spans="1:18" ht="57.75" customHeight="1">
      <c r="A22" s="1043"/>
      <c r="B22" s="1061" t="s">
        <v>55</v>
      </c>
      <c r="C22" s="1059"/>
      <c r="D22" s="101">
        <v>2</v>
      </c>
      <c r="E22" s="206">
        <f>ROUND(82690*(1-$E$49),2)</f>
        <v>82690</v>
      </c>
      <c r="F22" s="206">
        <f>ROUND(106315*(1-$E$49),2)</f>
        <v>106315</v>
      </c>
      <c r="H22" s="1057"/>
      <c r="I22" s="1057"/>
      <c r="J22" s="1057"/>
      <c r="K22" s="1057"/>
      <c r="L22" s="1057"/>
      <c r="M22" s="1057"/>
      <c r="N22" s="1057"/>
      <c r="O22" s="1057"/>
      <c r="P22" s="1057"/>
      <c r="Q22" s="1057"/>
      <c r="R22" s="66"/>
    </row>
    <row r="23" spans="1:18" ht="69" customHeight="1">
      <c r="A23" s="1043"/>
      <c r="B23" s="1062"/>
      <c r="C23" s="1060"/>
      <c r="D23" s="98">
        <v>2.4</v>
      </c>
      <c r="E23" s="207">
        <f>ROUND(99228*(1-$E$49),2)</f>
        <v>99228</v>
      </c>
      <c r="F23" s="207">
        <f>ROUND(127801*(1-$E$49),2)</f>
        <v>127801</v>
      </c>
      <c r="H23" s="1057"/>
      <c r="I23" s="1057"/>
      <c r="J23" s="1057"/>
      <c r="K23" s="1057"/>
      <c r="L23" s="1057"/>
      <c r="M23" s="1057"/>
      <c r="N23" s="1057"/>
      <c r="O23" s="1057"/>
      <c r="P23" s="1057"/>
      <c r="Q23" s="1057"/>
      <c r="R23" s="66"/>
    </row>
    <row r="24" spans="1:18" ht="20.100000000000001" customHeight="1">
      <c r="A24" s="67"/>
      <c r="B24" s="67"/>
      <c r="C24" s="67"/>
      <c r="D24" s="67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8"/>
      <c r="P24" s="67"/>
      <c r="Q24" s="67"/>
      <c r="R24" s="67"/>
    </row>
    <row r="25" spans="1:18" ht="55.5" customHeight="1">
      <c r="A25" s="1069" t="s">
        <v>47</v>
      </c>
      <c r="B25" s="1055"/>
      <c r="C25" s="1055"/>
      <c r="D25" s="1055"/>
      <c r="E25" s="1055"/>
      <c r="F25" s="1055"/>
      <c r="G25" s="1055"/>
      <c r="H25" s="1055"/>
      <c r="I25" s="1055"/>
      <c r="J25" s="1055"/>
      <c r="K25" s="1056"/>
      <c r="L25" s="1070" t="s">
        <v>278</v>
      </c>
      <c r="M25" s="1071"/>
      <c r="N25" s="1072"/>
      <c r="O25" s="1071" t="s">
        <v>279</v>
      </c>
      <c r="P25" s="1071"/>
      <c r="Q25" s="1072"/>
    </row>
    <row r="26" spans="1:18" ht="210" customHeight="1">
      <c r="A26" s="1073" t="s">
        <v>358</v>
      </c>
      <c r="B26" s="1074"/>
      <c r="C26" s="1074"/>
      <c r="D26" s="1074"/>
      <c r="E26" s="1074"/>
      <c r="F26" s="1074"/>
      <c r="G26" s="1074"/>
      <c r="H26" s="1074"/>
      <c r="I26" s="1074"/>
      <c r="J26" s="1074"/>
      <c r="K26" s="1074"/>
      <c r="L26" s="1075">
        <f>ROUND(31432*(1-$E$49),2)</f>
        <v>31432</v>
      </c>
      <c r="M26" s="1076"/>
      <c r="N26" s="1077"/>
      <c r="O26" s="1076">
        <f>ROUND(38056*(1-$E$49),2)</f>
        <v>38056</v>
      </c>
      <c r="P26" s="1076"/>
      <c r="Q26" s="1077"/>
    </row>
    <row r="27" spans="1:18" ht="30">
      <c r="A27" s="1078" t="s">
        <v>280</v>
      </c>
      <c r="B27" s="1079"/>
      <c r="C27" s="1079"/>
      <c r="D27" s="1079"/>
      <c r="E27" s="1079"/>
      <c r="F27" s="1079"/>
      <c r="G27" s="1079"/>
      <c r="H27" s="1079"/>
      <c r="I27" s="1079"/>
      <c r="J27" s="1079"/>
      <c r="K27" s="1079"/>
      <c r="L27" s="1079"/>
      <c r="M27" s="1079"/>
      <c r="N27" s="1079"/>
      <c r="O27" s="1079"/>
      <c r="P27" s="1079"/>
      <c r="Q27" s="1080"/>
      <c r="R27" s="38"/>
    </row>
    <row r="28" spans="1:18" ht="182.25" customHeight="1">
      <c r="A28" s="1081" t="s">
        <v>357</v>
      </c>
      <c r="B28" s="1082"/>
      <c r="C28" s="1082"/>
      <c r="D28" s="1082"/>
      <c r="E28" s="1082"/>
      <c r="F28" s="1082"/>
      <c r="G28" s="1082"/>
      <c r="H28" s="1082"/>
      <c r="I28" s="1082"/>
      <c r="J28" s="1082"/>
      <c r="K28" s="1082"/>
      <c r="L28" s="1083">
        <f>ROUND(14904*(1-$E$49),2)</f>
        <v>14904</v>
      </c>
      <c r="M28" s="1084"/>
      <c r="N28" s="1085"/>
      <c r="O28" s="1086">
        <f>ROUND(18216*(1-$E$49),2)</f>
        <v>18216</v>
      </c>
      <c r="P28" s="1087"/>
      <c r="Q28" s="1088"/>
      <c r="R28" s="38"/>
    </row>
    <row r="29" spans="1:18" ht="59.25" customHeight="1">
      <c r="A29" s="1089" t="s">
        <v>337</v>
      </c>
      <c r="B29" s="1090"/>
      <c r="C29" s="1090"/>
      <c r="D29" s="1090"/>
      <c r="E29" s="1090"/>
      <c r="F29" s="1090"/>
      <c r="G29" s="1090"/>
      <c r="H29" s="1090"/>
      <c r="I29" s="1090"/>
      <c r="J29" s="1090"/>
      <c r="K29" s="1090"/>
      <c r="L29" s="1090"/>
      <c r="M29" s="1090"/>
      <c r="N29" s="1090"/>
      <c r="O29" s="1090"/>
      <c r="P29" s="1090"/>
      <c r="Q29" s="1091"/>
    </row>
    <row r="30" spans="1:18" ht="30">
      <c r="A30" s="1109" t="s">
        <v>560</v>
      </c>
      <c r="B30" s="1110"/>
      <c r="C30" s="1113"/>
      <c r="D30" s="1041"/>
      <c r="E30" s="1116" t="s">
        <v>103</v>
      </c>
      <c r="F30" s="1117"/>
      <c r="G30" s="1118"/>
      <c r="H30" s="1067" t="s">
        <v>287</v>
      </c>
      <c r="I30" s="1122"/>
      <c r="J30" s="1122"/>
      <c r="K30" s="1122"/>
      <c r="L30" s="1068"/>
      <c r="M30" s="1067" t="s">
        <v>300</v>
      </c>
      <c r="N30" s="1068"/>
      <c r="O30" s="1097">
        <f>ROUND(11230*(1-$E$49),2)</f>
        <v>11230</v>
      </c>
      <c r="P30" s="1098"/>
      <c r="Q30" s="1099"/>
    </row>
    <row r="31" spans="1:18" ht="30">
      <c r="A31" s="1109"/>
      <c r="B31" s="1110"/>
      <c r="C31" s="1113"/>
      <c r="D31" s="1041"/>
      <c r="E31" s="1116"/>
      <c r="F31" s="1117"/>
      <c r="G31" s="1118"/>
      <c r="H31" s="1103" t="s">
        <v>262</v>
      </c>
      <c r="I31" s="1104"/>
      <c r="J31" s="1104"/>
      <c r="K31" s="1104"/>
      <c r="L31" s="1105"/>
      <c r="M31" s="1103" t="s">
        <v>104</v>
      </c>
      <c r="N31" s="1105"/>
      <c r="O31" s="1097"/>
      <c r="P31" s="1098"/>
      <c r="Q31" s="1099"/>
    </row>
    <row r="32" spans="1:18" ht="32.25" customHeight="1">
      <c r="A32" s="1109"/>
      <c r="B32" s="1110"/>
      <c r="C32" s="1113"/>
      <c r="D32" s="1041"/>
      <c r="E32" s="1116"/>
      <c r="F32" s="1117"/>
      <c r="G32" s="1118"/>
      <c r="H32" s="1103" t="s">
        <v>264</v>
      </c>
      <c r="I32" s="1104"/>
      <c r="J32" s="1104"/>
      <c r="K32" s="1104"/>
      <c r="L32" s="1105"/>
      <c r="M32" s="1103" t="s">
        <v>265</v>
      </c>
      <c r="N32" s="1105"/>
      <c r="O32" s="1097"/>
      <c r="P32" s="1098"/>
      <c r="Q32" s="1099"/>
    </row>
    <row r="33" spans="1:18" ht="30">
      <c r="A33" s="1109"/>
      <c r="B33" s="1110"/>
      <c r="C33" s="1113"/>
      <c r="D33" s="1041"/>
      <c r="E33" s="1116"/>
      <c r="F33" s="1117"/>
      <c r="G33" s="1118"/>
      <c r="H33" s="1103" t="s">
        <v>266</v>
      </c>
      <c r="I33" s="1104"/>
      <c r="J33" s="1104"/>
      <c r="K33" s="1104"/>
      <c r="L33" s="1105"/>
      <c r="M33" s="1103" t="s">
        <v>267</v>
      </c>
      <c r="N33" s="1105"/>
      <c r="O33" s="1097"/>
      <c r="P33" s="1098"/>
      <c r="Q33" s="1099"/>
    </row>
    <row r="34" spans="1:18" ht="30">
      <c r="A34" s="1109"/>
      <c r="B34" s="1110"/>
      <c r="C34" s="1113"/>
      <c r="D34" s="1041"/>
      <c r="E34" s="1116"/>
      <c r="F34" s="1117"/>
      <c r="G34" s="1118"/>
      <c r="H34" s="1103" t="s">
        <v>297</v>
      </c>
      <c r="I34" s="1104"/>
      <c r="J34" s="1104"/>
      <c r="K34" s="1104"/>
      <c r="L34" s="1105"/>
      <c r="M34" s="1103" t="s">
        <v>295</v>
      </c>
      <c r="N34" s="1105"/>
      <c r="O34" s="1097"/>
      <c r="P34" s="1098"/>
      <c r="Q34" s="1099"/>
    </row>
    <row r="35" spans="1:18" ht="30">
      <c r="A35" s="1111"/>
      <c r="B35" s="1112"/>
      <c r="C35" s="1114"/>
      <c r="D35" s="1115"/>
      <c r="E35" s="1119"/>
      <c r="F35" s="1120"/>
      <c r="G35" s="1121"/>
      <c r="H35" s="1106" t="s">
        <v>298</v>
      </c>
      <c r="I35" s="1107"/>
      <c r="J35" s="1107"/>
      <c r="K35" s="1107"/>
      <c r="L35" s="1108"/>
      <c r="M35" s="1106" t="s">
        <v>295</v>
      </c>
      <c r="N35" s="1108"/>
      <c r="O35" s="1100"/>
      <c r="P35" s="1101"/>
      <c r="Q35" s="1102"/>
    </row>
    <row r="36" spans="1:18" ht="30">
      <c r="A36" s="1069" t="s">
        <v>48</v>
      </c>
      <c r="B36" s="1055"/>
      <c r="C36" s="1055"/>
      <c r="D36" s="1055"/>
      <c r="E36" s="1055"/>
      <c r="F36" s="1055"/>
      <c r="G36" s="1055"/>
      <c r="H36" s="1055"/>
      <c r="I36" s="1055"/>
      <c r="J36" s="1055"/>
      <c r="K36" s="1055"/>
      <c r="L36" s="1055"/>
      <c r="M36" s="1055"/>
      <c r="N36" s="1056"/>
      <c r="O36" s="1123" t="s">
        <v>43</v>
      </c>
      <c r="P36" s="1123"/>
      <c r="Q36" s="1123"/>
    </row>
    <row r="37" spans="1:18" ht="30">
      <c r="A37" s="1124" t="s">
        <v>291</v>
      </c>
      <c r="B37" s="1125"/>
      <c r="C37" s="1125"/>
      <c r="D37" s="1125"/>
      <c r="E37" s="1125"/>
      <c r="F37" s="1125"/>
      <c r="G37" s="1125"/>
      <c r="H37" s="1125"/>
      <c r="I37" s="1125"/>
      <c r="J37" s="1125"/>
      <c r="K37" s="1125"/>
      <c r="L37" s="1125"/>
      <c r="M37" s="1125"/>
      <c r="N37" s="1126"/>
      <c r="O37" s="1127">
        <v>5995</v>
      </c>
      <c r="P37" s="1128"/>
      <c r="Q37" s="1129"/>
      <c r="R37" s="192"/>
    </row>
    <row r="38" spans="1:18" ht="30">
      <c r="A38" s="1092" t="s">
        <v>190</v>
      </c>
      <c r="B38" s="1093"/>
      <c r="C38" s="1093"/>
      <c r="D38" s="1093"/>
      <c r="E38" s="1093"/>
      <c r="F38" s="1093"/>
      <c r="G38" s="1093"/>
      <c r="H38" s="1093"/>
      <c r="I38" s="1093"/>
      <c r="J38" s="1093"/>
      <c r="K38" s="1093"/>
      <c r="L38" s="1093"/>
      <c r="M38" s="1093"/>
      <c r="N38" s="1093"/>
      <c r="O38" s="1094">
        <v>3465</v>
      </c>
      <c r="P38" s="1095"/>
      <c r="Q38" s="1096"/>
      <c r="R38" s="192"/>
    </row>
    <row r="39" spans="1:18" ht="30">
      <c r="A39" s="1092" t="s">
        <v>292</v>
      </c>
      <c r="B39" s="1093"/>
      <c r="C39" s="1093"/>
      <c r="D39" s="1093"/>
      <c r="E39" s="1093"/>
      <c r="F39" s="1093"/>
      <c r="G39" s="1093"/>
      <c r="H39" s="1093"/>
      <c r="I39" s="1093"/>
      <c r="J39" s="1093"/>
      <c r="K39" s="1093"/>
      <c r="L39" s="1093"/>
      <c r="M39" s="1093"/>
      <c r="N39" s="1093"/>
      <c r="O39" s="1094">
        <v>6610</v>
      </c>
      <c r="P39" s="1095"/>
      <c r="Q39" s="1096"/>
      <c r="R39" s="192"/>
    </row>
    <row r="40" spans="1:18" ht="30">
      <c r="A40" s="1092" t="s">
        <v>191</v>
      </c>
      <c r="B40" s="1093"/>
      <c r="C40" s="1093"/>
      <c r="D40" s="1093"/>
      <c r="E40" s="1093"/>
      <c r="F40" s="1093"/>
      <c r="G40" s="1093"/>
      <c r="H40" s="1093"/>
      <c r="I40" s="1093"/>
      <c r="J40" s="1093"/>
      <c r="K40" s="1093"/>
      <c r="L40" s="1093"/>
      <c r="M40" s="1093"/>
      <c r="N40" s="1093"/>
      <c r="O40" s="1094">
        <v>3775</v>
      </c>
      <c r="P40" s="1095"/>
      <c r="Q40" s="1096"/>
      <c r="R40" s="192"/>
    </row>
    <row r="41" spans="1:18" ht="30">
      <c r="A41" s="1092" t="s">
        <v>192</v>
      </c>
      <c r="B41" s="1093"/>
      <c r="C41" s="1093"/>
      <c r="D41" s="1093"/>
      <c r="E41" s="1093"/>
      <c r="F41" s="1093"/>
      <c r="G41" s="1093"/>
      <c r="H41" s="1093"/>
      <c r="I41" s="1093"/>
      <c r="J41" s="1093"/>
      <c r="K41" s="1093"/>
      <c r="L41" s="1093"/>
      <c r="M41" s="1093"/>
      <c r="N41" s="1093"/>
      <c r="O41" s="1132">
        <v>470</v>
      </c>
      <c r="P41" s="1133"/>
      <c r="Q41" s="1134"/>
      <c r="R41" s="192"/>
    </row>
    <row r="42" spans="1:18" ht="30">
      <c r="A42" s="66" t="s">
        <v>59</v>
      </c>
      <c r="B42" s="317"/>
      <c r="C42" s="317"/>
      <c r="D42" s="317"/>
      <c r="E42" s="317"/>
      <c r="F42" s="317"/>
      <c r="G42" s="317"/>
      <c r="H42" s="317"/>
      <c r="I42" s="317"/>
      <c r="J42" s="317"/>
      <c r="K42" s="317"/>
      <c r="L42" s="69"/>
      <c r="M42" s="69"/>
      <c r="N42" s="69"/>
      <c r="O42" s="69"/>
    </row>
    <row r="43" spans="1:18" ht="30">
      <c r="A43" s="66" t="s">
        <v>60</v>
      </c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18" ht="30">
      <c r="A44" s="66" t="s">
        <v>61</v>
      </c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8" ht="30">
      <c r="A45" s="391" t="s">
        <v>452</v>
      </c>
      <c r="B45" s="505"/>
      <c r="C45" s="505"/>
      <c r="D45" s="505"/>
      <c r="E45" s="505"/>
      <c r="F45" s="505"/>
      <c r="G45" s="505"/>
      <c r="H45" s="505"/>
      <c r="I45" s="505"/>
      <c r="J45" s="505"/>
      <c r="K45" s="505"/>
      <c r="L45" s="391"/>
      <c r="M45" s="391"/>
      <c r="N45" s="66"/>
      <c r="O45" s="66"/>
    </row>
    <row r="46" spans="1:18" ht="30"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72"/>
      <c r="M46" s="72"/>
      <c r="N46" s="72"/>
      <c r="O46" s="72"/>
      <c r="P46" s="71"/>
      <c r="Q46" s="72"/>
      <c r="R46" s="72"/>
    </row>
    <row r="47" spans="1:18" ht="30">
      <c r="A47" s="70" t="s">
        <v>581</v>
      </c>
      <c r="B47" s="391"/>
      <c r="C47" s="391"/>
      <c r="D47" s="391"/>
      <c r="E47" s="391"/>
      <c r="F47" s="391"/>
      <c r="G47" s="391"/>
      <c r="H47" s="391"/>
      <c r="I47" s="391"/>
      <c r="J47" s="391"/>
      <c r="K47" s="391"/>
      <c r="L47" s="72"/>
      <c r="M47" s="72"/>
      <c r="N47" s="72"/>
      <c r="O47" s="72"/>
      <c r="P47" s="71"/>
      <c r="Q47" s="72"/>
      <c r="R47" s="72"/>
    </row>
    <row r="48" spans="1:18" ht="30">
      <c r="A48" s="70"/>
      <c r="B48" s="391"/>
      <c r="C48" s="391"/>
      <c r="D48" s="391"/>
      <c r="E48" s="391"/>
      <c r="F48" s="391"/>
      <c r="G48" s="391"/>
      <c r="H48" s="391"/>
      <c r="I48" s="391"/>
      <c r="J48" s="391"/>
      <c r="K48" s="391"/>
      <c r="L48" s="72"/>
      <c r="M48" s="72"/>
      <c r="N48" s="72"/>
      <c r="O48" s="72"/>
      <c r="P48" s="71"/>
      <c r="Q48" s="72"/>
      <c r="R48" s="72"/>
    </row>
    <row r="49" spans="1:18" ht="67.5" customHeight="1">
      <c r="A49" s="1130" t="s">
        <v>62</v>
      </c>
      <c r="B49" s="1130"/>
      <c r="C49" s="1130"/>
      <c r="D49" s="1130"/>
      <c r="E49" s="1131">
        <v>0</v>
      </c>
      <c r="F49" s="1131"/>
      <c r="G49" s="72"/>
      <c r="H49" s="72"/>
      <c r="I49" s="72"/>
      <c r="J49" s="72"/>
      <c r="K49" s="72"/>
      <c r="L49" s="72"/>
      <c r="M49" s="72"/>
      <c r="N49" s="72"/>
      <c r="O49" s="104"/>
      <c r="P49" s="105"/>
      <c r="Q49" s="105"/>
      <c r="R49" s="105"/>
    </row>
    <row r="50" spans="1:18" ht="14.25" customHeight="1">
      <c r="A50" s="66"/>
      <c r="B50" s="66"/>
      <c r="C50" s="66"/>
      <c r="D50" s="66"/>
      <c r="E50" s="66"/>
      <c r="F50" s="66"/>
      <c r="G50" s="72"/>
      <c r="H50" s="72"/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ht="18" customHeight="1">
      <c r="G51" s="33"/>
      <c r="H51" s="33"/>
    </row>
  </sheetData>
  <dataConsolidate/>
  <mergeCells count="65">
    <mergeCell ref="A49:D49"/>
    <mergeCell ref="E49:F49"/>
    <mergeCell ref="A39:N39"/>
    <mergeCell ref="O39:Q39"/>
    <mergeCell ref="A40:N40"/>
    <mergeCell ref="O40:Q40"/>
    <mergeCell ref="A41:N41"/>
    <mergeCell ref="O41:Q41"/>
    <mergeCell ref="M35:N35"/>
    <mergeCell ref="A36:N36"/>
    <mergeCell ref="O36:Q36"/>
    <mergeCell ref="A37:N37"/>
    <mergeCell ref="O37:Q37"/>
    <mergeCell ref="A38:N38"/>
    <mergeCell ref="O38:Q38"/>
    <mergeCell ref="O30:Q35"/>
    <mergeCell ref="H31:L31"/>
    <mergeCell ref="M31:N31"/>
    <mergeCell ref="H32:L32"/>
    <mergeCell ref="M32:N32"/>
    <mergeCell ref="H33:L33"/>
    <mergeCell ref="M33:N33"/>
    <mergeCell ref="H34:L34"/>
    <mergeCell ref="M34:N34"/>
    <mergeCell ref="H35:L35"/>
    <mergeCell ref="A30:B35"/>
    <mergeCell ref="C30:D35"/>
    <mergeCell ref="E30:G35"/>
    <mergeCell ref="H30:L30"/>
    <mergeCell ref="M30:N30"/>
    <mergeCell ref="A25:K25"/>
    <mergeCell ref="L25:N25"/>
    <mergeCell ref="O25:Q25"/>
    <mergeCell ref="A26:K26"/>
    <mergeCell ref="L26:N26"/>
    <mergeCell ref="O26:Q26"/>
    <mergeCell ref="A27:Q27"/>
    <mergeCell ref="A28:K28"/>
    <mergeCell ref="L28:N28"/>
    <mergeCell ref="O28:Q28"/>
    <mergeCell ref="A29:Q29"/>
    <mergeCell ref="A15:A17"/>
    <mergeCell ref="B15:B17"/>
    <mergeCell ref="C15:C17"/>
    <mergeCell ref="H19:Q19"/>
    <mergeCell ref="H20:Q23"/>
    <mergeCell ref="A21:A23"/>
    <mergeCell ref="C21:C23"/>
    <mergeCell ref="B22:B23"/>
    <mergeCell ref="A19:A20"/>
    <mergeCell ref="B19:B20"/>
    <mergeCell ref="C19:C20"/>
    <mergeCell ref="D19:D20"/>
    <mergeCell ref="E19:F19"/>
    <mergeCell ref="A8:Q8"/>
    <mergeCell ref="P9:Q9"/>
    <mergeCell ref="A1:Q7"/>
    <mergeCell ref="A12:A14"/>
    <mergeCell ref="B12:B14"/>
    <mergeCell ref="C12:C14"/>
    <mergeCell ref="A10:A11"/>
    <mergeCell ref="B10:B11"/>
    <mergeCell ref="C10:C11"/>
    <mergeCell ref="D10:D11"/>
    <mergeCell ref="E10:Q10"/>
  </mergeCells>
  <printOptions horizontalCentered="1"/>
  <pageMargins left="0" right="0" top="0" bottom="0" header="0" footer="0"/>
  <pageSetup paperSize="9" scale="27" orientation="landscape" r:id="rId1"/>
  <headerFooter alignWithMargins="0">
    <oddFooter>&amp;R&amp;24Стр. &amp;P из  &amp;N
&amp;A</oddFooter>
  </headerFooter>
  <drawing r:id="rId2"/>
  <legacyDrawing r:id="rId3"/>
  <oleObjects>
    <oleObject progId="CorelDRAW.Graphic.13" shapeId="148481" r:id="rId4"/>
    <oleObject progId="CorelDRAW.Graphic.13" shapeId="148482" r:id="rId5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BI71"/>
  <sheetViews>
    <sheetView showGridLines="0" zoomScale="30" zoomScaleNormal="30" zoomScaleSheetLayoutView="10" workbookViewId="0">
      <selection activeCell="AM13" sqref="AM13"/>
    </sheetView>
  </sheetViews>
  <sheetFormatPr defaultRowHeight="30"/>
  <cols>
    <col min="1" max="1" width="62.44140625" style="8" customWidth="1"/>
    <col min="2" max="2" width="37" style="8" customWidth="1"/>
    <col min="3" max="3" width="32.5546875" style="8" customWidth="1"/>
    <col min="4" max="4" width="22.88671875" style="8" customWidth="1"/>
    <col min="5" max="5" width="20.6640625" style="8" customWidth="1"/>
    <col min="6" max="6" width="23.33203125" style="8" customWidth="1"/>
    <col min="7" max="7" width="22.109375" style="8" customWidth="1"/>
    <col min="8" max="8" width="3.109375" style="8" customWidth="1"/>
    <col min="9" max="9" width="21.109375" style="8" customWidth="1"/>
    <col min="10" max="10" width="20.6640625" style="8" customWidth="1"/>
    <col min="11" max="11" width="21.44140625" style="8" customWidth="1"/>
    <col min="12" max="12" width="21.6640625" style="8" customWidth="1"/>
    <col min="13" max="13" width="22.109375" style="8" customWidth="1"/>
    <col min="14" max="14" width="24" style="8" customWidth="1"/>
    <col min="15" max="15" width="27.88671875" style="8" customWidth="1"/>
    <col min="16" max="16" width="23.33203125" style="8" customWidth="1"/>
    <col min="17" max="17" width="22.33203125" style="8" customWidth="1"/>
    <col min="18" max="18" width="31.33203125" style="8" customWidth="1"/>
    <col min="19" max="19" width="10.6640625" customWidth="1"/>
    <col min="20" max="21" width="11" customWidth="1"/>
    <col min="22" max="22" width="14.88671875" style="67" hidden="1" customWidth="1"/>
    <col min="23" max="23" width="17" style="67" hidden="1" customWidth="1"/>
    <col min="24" max="24" width="6.33203125" style="67" hidden="1" customWidth="1"/>
    <col min="25" max="29" width="14.88671875" style="67" hidden="1" customWidth="1"/>
    <col min="30" max="34" width="17.44140625" style="67" hidden="1" customWidth="1"/>
    <col min="35" max="35" width="0" style="67" hidden="1" customWidth="1"/>
    <col min="36" max="36" width="17.44140625" style="67" hidden="1" customWidth="1"/>
    <col min="37" max="37" width="9.109375" style="67"/>
    <col min="38" max="39" width="14.88671875" style="67" bestFit="1" customWidth="1"/>
    <col min="40" max="40" width="4.6640625" style="67" bestFit="1" customWidth="1"/>
    <col min="41" max="44" width="14.88671875" style="67" bestFit="1" customWidth="1"/>
    <col min="45" max="48" width="17.44140625" style="67" bestFit="1" customWidth="1"/>
    <col min="49" max="50" width="17.44140625" bestFit="1" customWidth="1"/>
    <col min="51" max="51" width="4.6640625" bestFit="1" customWidth="1"/>
    <col min="52" max="52" width="17.44140625" bestFit="1" customWidth="1"/>
    <col min="53" max="53" width="4.6640625" bestFit="1" customWidth="1"/>
    <col min="54" max="55" width="14.88671875" bestFit="1" customWidth="1"/>
    <col min="56" max="56" width="4.6640625" bestFit="1" customWidth="1"/>
    <col min="57" max="60" width="14.88671875" bestFit="1" customWidth="1"/>
    <col min="61" max="61" width="17.44140625" bestFit="1" customWidth="1"/>
  </cols>
  <sheetData>
    <row r="1" spans="1:61" ht="18" customHeight="1">
      <c r="A1" s="1142"/>
      <c r="B1" s="1142"/>
      <c r="C1" s="1142"/>
      <c r="D1" s="1142"/>
      <c r="E1" s="1142"/>
      <c r="F1" s="1142"/>
      <c r="G1" s="1142"/>
      <c r="H1" s="1142"/>
      <c r="I1" s="1142"/>
      <c r="J1" s="1142"/>
      <c r="K1" s="1142"/>
      <c r="L1" s="1142"/>
      <c r="M1" s="1142"/>
      <c r="N1" s="1142"/>
      <c r="O1" s="1142"/>
      <c r="P1" s="1142"/>
      <c r="Q1" s="1142"/>
      <c r="R1" s="1142"/>
      <c r="S1" s="1142"/>
      <c r="T1" s="1142"/>
      <c r="U1" s="1142"/>
    </row>
    <row r="2" spans="1:61" ht="16.5" customHeight="1">
      <c r="A2" s="1142"/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1142"/>
      <c r="U2" s="1142"/>
    </row>
    <row r="3" spans="1:61" ht="18" customHeight="1">
      <c r="A3" s="1142"/>
      <c r="B3" s="1142"/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</row>
    <row r="4" spans="1:61" ht="18" customHeight="1">
      <c r="A4" s="1142"/>
      <c r="B4" s="1142"/>
      <c r="C4" s="1142"/>
      <c r="D4" s="1142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</row>
    <row r="5" spans="1:61" ht="18" customHeight="1">
      <c r="A5" s="1142"/>
      <c r="B5" s="1142"/>
      <c r="C5" s="1142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</row>
    <row r="6" spans="1:61" ht="53.25" customHeight="1" thickBot="1">
      <c r="A6" s="1143"/>
      <c r="B6" s="1143"/>
      <c r="C6" s="1143"/>
      <c r="D6" s="1143"/>
      <c r="E6" s="1143"/>
      <c r="F6" s="1143"/>
      <c r="G6" s="1143"/>
      <c r="H6" s="1143"/>
      <c r="I6" s="1143"/>
      <c r="J6" s="1143"/>
      <c r="K6" s="1143"/>
      <c r="L6" s="1143"/>
      <c r="M6" s="1143"/>
      <c r="N6" s="1143"/>
      <c r="O6" s="1143"/>
      <c r="P6" s="1143"/>
      <c r="Q6" s="1143"/>
      <c r="R6" s="1143"/>
      <c r="S6" s="1143"/>
      <c r="T6" s="1143"/>
      <c r="U6" s="1143"/>
    </row>
    <row r="7" spans="1:61" ht="39.75" customHeight="1">
      <c r="A7" s="1163" t="s">
        <v>429</v>
      </c>
      <c r="B7" s="1163"/>
      <c r="C7" s="1163"/>
      <c r="D7" s="1163"/>
      <c r="E7" s="1163"/>
      <c r="F7" s="1163"/>
      <c r="G7" s="1163"/>
      <c r="H7" s="1163"/>
      <c r="I7" s="1163"/>
      <c r="J7" s="1163"/>
      <c r="K7" s="1163"/>
      <c r="L7" s="1163"/>
      <c r="M7" s="1163"/>
      <c r="N7" s="1163"/>
      <c r="O7" s="1163"/>
      <c r="P7" s="1163"/>
      <c r="Q7" s="1163"/>
      <c r="R7" s="1163"/>
      <c r="S7" s="1163"/>
      <c r="T7" s="1163"/>
      <c r="U7" s="1163"/>
    </row>
    <row r="8" spans="1:61" ht="27.75" customHeight="1">
      <c r="P8" s="195" t="s">
        <v>319</v>
      </c>
      <c r="S8" s="1166">
        <v>42409</v>
      </c>
      <c r="T8" s="1166"/>
      <c r="U8" s="1166"/>
    </row>
    <row r="9" spans="1:61">
      <c r="A9" s="1051" t="s">
        <v>63</v>
      </c>
      <c r="B9" s="1063" t="s">
        <v>164</v>
      </c>
      <c r="C9" s="1063" t="s">
        <v>53</v>
      </c>
      <c r="D9" s="1051" t="s">
        <v>168</v>
      </c>
      <c r="E9" s="1051"/>
      <c r="F9" s="1051" t="s">
        <v>169</v>
      </c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1051"/>
      <c r="T9" s="1051"/>
      <c r="U9" s="1051"/>
      <c r="V9" s="1135" t="s">
        <v>570</v>
      </c>
      <c r="W9" s="1136"/>
      <c r="X9" s="1136"/>
      <c r="Y9" s="1136"/>
      <c r="Z9" s="1136"/>
      <c r="AA9" s="1136"/>
      <c r="AB9" s="1136"/>
      <c r="AC9" s="1136"/>
      <c r="AD9" s="1136"/>
      <c r="AE9" s="1136"/>
      <c r="AF9" s="1136"/>
      <c r="AG9" s="1136"/>
      <c r="AH9" s="1136"/>
      <c r="AI9" s="1136"/>
      <c r="AJ9" s="1136"/>
    </row>
    <row r="10" spans="1:61">
      <c r="A10" s="1051"/>
      <c r="B10" s="1064"/>
      <c r="C10" s="1064"/>
      <c r="D10" s="1051"/>
      <c r="E10" s="1051"/>
      <c r="F10" s="604">
        <v>3</v>
      </c>
      <c r="G10" s="1154">
        <v>3.5</v>
      </c>
      <c r="H10" s="1156"/>
      <c r="I10" s="604">
        <v>4</v>
      </c>
      <c r="J10" s="604">
        <v>4.5</v>
      </c>
      <c r="K10" s="604">
        <v>5</v>
      </c>
      <c r="L10" s="604">
        <v>5.5</v>
      </c>
      <c r="M10" s="604">
        <v>6</v>
      </c>
      <c r="N10" s="604">
        <v>6.5</v>
      </c>
      <c r="O10" s="604">
        <v>7</v>
      </c>
      <c r="P10" s="604">
        <v>7.5</v>
      </c>
      <c r="Q10" s="604">
        <v>8</v>
      </c>
      <c r="R10" s="1051">
        <v>8.5</v>
      </c>
      <c r="S10" s="1051"/>
      <c r="T10" s="1051">
        <v>9</v>
      </c>
      <c r="U10" s="1051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</row>
    <row r="11" spans="1:61" ht="56.25" customHeight="1">
      <c r="A11" s="1052"/>
      <c r="B11" s="1044" t="s">
        <v>64</v>
      </c>
      <c r="C11" s="1167" t="s">
        <v>57</v>
      </c>
      <c r="D11" s="1053">
        <v>1.53</v>
      </c>
      <c r="E11" s="1053"/>
      <c r="F11" s="278" t="str">
        <f>ROUND(V11*(1-$G$71),2)&amp;"*"</f>
        <v>31389*</v>
      </c>
      <c r="G11" s="1164">
        <f>ROUND(W11*(1-$G$71),2)</f>
        <v>37312</v>
      </c>
      <c r="H11" s="1165" t="str">
        <f t="shared" ref="H11" si="0">ROUND(X11*(1-$G$71),2)&amp;"*"</f>
        <v>0*</v>
      </c>
      <c r="I11" s="278" t="str">
        <f>ROUND(Y11*(1-$G$71),2)&amp;"*"</f>
        <v>39740*</v>
      </c>
      <c r="J11" s="278">
        <f t="shared" ref="J11:J14" si="1">ROUND(Z11*(1-$G$71),2)</f>
        <v>42405</v>
      </c>
      <c r="K11" s="515">
        <f t="shared" ref="K11:K14" si="2">ROUND(AA11*(1-$G$71),2)</f>
        <v>47143</v>
      </c>
      <c r="L11" s="515">
        <f t="shared" ref="L11:L14" si="3">ROUND(AB11*(1-$G$71),2)</f>
        <v>57567</v>
      </c>
      <c r="M11" s="515">
        <f t="shared" ref="M11:M14" si="4">ROUND(AC11*(1-$G$71),2)</f>
        <v>62779</v>
      </c>
      <c r="N11" s="515">
        <f t="shared" ref="N11:N14" si="5">ROUND(AD11*(1-$G$71),2)</f>
        <v>67990</v>
      </c>
      <c r="O11" s="515">
        <f t="shared" ref="O11:O14" si="6">ROUND(AE11*(1-$G$71),2)</f>
        <v>73084</v>
      </c>
      <c r="P11" s="515">
        <f t="shared" ref="P11:P14" si="7">ROUND(AF11*(1-$G$71),2)</f>
        <v>78474</v>
      </c>
      <c r="Q11" s="515">
        <f t="shared" ref="Q11:Q14" si="8">ROUND(AG11*(1-$G$71),2)</f>
        <v>83685</v>
      </c>
      <c r="R11" s="1164">
        <f t="shared" ref="R11:R14" si="9">ROUND(AH11*(1-$G$71),2)</f>
        <v>88897</v>
      </c>
      <c r="S11" s="1165"/>
      <c r="T11" s="1164">
        <f t="shared" ref="T11:T14" si="10">ROUND(AJ11*(1-$G$71),2)</f>
        <v>94760</v>
      </c>
      <c r="U11" s="1165">
        <f t="shared" ref="U11:U13" si="11">ROUND(AK11*(1-$G$71),2)</f>
        <v>0</v>
      </c>
      <c r="V11" s="566">
        <v>31389</v>
      </c>
      <c r="W11" s="566">
        <v>37312</v>
      </c>
      <c r="X11" s="566">
        <v>0</v>
      </c>
      <c r="Y11" s="566">
        <v>39740</v>
      </c>
      <c r="Z11" s="566">
        <v>42405</v>
      </c>
      <c r="AA11" s="566">
        <v>47143</v>
      </c>
      <c r="AB11" s="566">
        <v>57567</v>
      </c>
      <c r="AC11" s="566">
        <v>62779</v>
      </c>
      <c r="AD11" s="566">
        <v>67990</v>
      </c>
      <c r="AE11" s="566">
        <v>73084</v>
      </c>
      <c r="AF11" s="566">
        <v>78474</v>
      </c>
      <c r="AG11" s="566">
        <v>83685</v>
      </c>
      <c r="AH11" s="566">
        <v>88897</v>
      </c>
      <c r="AI11" s="566">
        <v>0</v>
      </c>
      <c r="AJ11" s="566">
        <v>94760</v>
      </c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</row>
    <row r="12" spans="1:61" ht="58.5" customHeight="1">
      <c r="A12" s="1052"/>
      <c r="B12" s="1044"/>
      <c r="C12" s="1167"/>
      <c r="D12" s="1044">
        <v>1.73</v>
      </c>
      <c r="E12" s="1044"/>
      <c r="F12" s="278" t="str">
        <f>ROUND(V12*(1-$G$71),2)&amp;"*"</f>
        <v>36127*</v>
      </c>
      <c r="G12" s="1164">
        <f t="shared" ref="G12:G14" si="12">ROUND(W12*(1-$G$71),2)</f>
        <v>41458</v>
      </c>
      <c r="H12" s="1165" t="str">
        <f t="shared" ref="H12:H14" si="13">ROUND(X12*(1-$G$71),2)&amp;"*"</f>
        <v>0*</v>
      </c>
      <c r="I12" s="278" t="str">
        <f>ROUND(Y12*(1-$G$71),2)&amp;"*"</f>
        <v>42405*</v>
      </c>
      <c r="J12" s="278">
        <f t="shared" si="1"/>
        <v>47972</v>
      </c>
      <c r="K12" s="515">
        <f t="shared" si="2"/>
        <v>53421</v>
      </c>
      <c r="L12" s="515">
        <f t="shared" si="3"/>
        <v>65266</v>
      </c>
      <c r="M12" s="515">
        <f t="shared" si="4"/>
        <v>71070</v>
      </c>
      <c r="N12" s="515">
        <f t="shared" si="5"/>
        <v>77111</v>
      </c>
      <c r="O12" s="515">
        <f t="shared" si="6"/>
        <v>82975</v>
      </c>
      <c r="P12" s="515">
        <f t="shared" si="7"/>
        <v>88956</v>
      </c>
      <c r="Q12" s="515">
        <f t="shared" si="8"/>
        <v>94820</v>
      </c>
      <c r="R12" s="1164">
        <f t="shared" si="9"/>
        <v>100742</v>
      </c>
      <c r="S12" s="1165"/>
      <c r="T12" s="1164">
        <f t="shared" si="10"/>
        <v>106665</v>
      </c>
      <c r="U12" s="1165">
        <f t="shared" si="11"/>
        <v>0</v>
      </c>
      <c r="V12" s="566">
        <v>36127</v>
      </c>
      <c r="W12" s="566">
        <v>41458</v>
      </c>
      <c r="X12" s="566">
        <v>0</v>
      </c>
      <c r="Y12" s="566">
        <v>42405</v>
      </c>
      <c r="Z12" s="566">
        <v>47972</v>
      </c>
      <c r="AA12" s="566">
        <v>53421</v>
      </c>
      <c r="AB12" s="566">
        <v>65266</v>
      </c>
      <c r="AC12" s="566">
        <v>71070</v>
      </c>
      <c r="AD12" s="566">
        <v>77111</v>
      </c>
      <c r="AE12" s="566">
        <v>82975</v>
      </c>
      <c r="AF12" s="566">
        <v>88956</v>
      </c>
      <c r="AG12" s="566">
        <v>94820</v>
      </c>
      <c r="AH12" s="566">
        <v>100742</v>
      </c>
      <c r="AI12" s="566">
        <v>0</v>
      </c>
      <c r="AJ12" s="566">
        <v>106665</v>
      </c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</row>
    <row r="13" spans="1:61" ht="54" customHeight="1">
      <c r="A13" s="1052"/>
      <c r="B13" s="1044"/>
      <c r="C13" s="1167"/>
      <c r="D13" s="1044">
        <v>2.0299999999999998</v>
      </c>
      <c r="E13" s="1044"/>
      <c r="F13" s="278" t="str">
        <f>ROUND(V13*(1-$G$71),2)&amp;"**"</f>
        <v>40273**</v>
      </c>
      <c r="G13" s="1164">
        <f t="shared" si="12"/>
        <v>43531</v>
      </c>
      <c r="H13" s="1165" t="str">
        <f t="shared" si="13"/>
        <v>0*</v>
      </c>
      <c r="I13" s="278" t="str">
        <f>ROUND(Y13*(1-$G$71),2)&amp;"**"</f>
        <v>44419**</v>
      </c>
      <c r="J13" s="278">
        <f t="shared" si="1"/>
        <v>56501</v>
      </c>
      <c r="K13" s="515">
        <f t="shared" si="2"/>
        <v>62779</v>
      </c>
      <c r="L13" s="515">
        <f t="shared" si="3"/>
        <v>76697</v>
      </c>
      <c r="M13" s="515">
        <f t="shared" si="4"/>
        <v>83685</v>
      </c>
      <c r="N13" s="515">
        <f t="shared" si="5"/>
        <v>90614</v>
      </c>
      <c r="O13" s="515">
        <f t="shared" si="6"/>
        <v>97603</v>
      </c>
      <c r="P13" s="515">
        <f t="shared" si="7"/>
        <v>104591</v>
      </c>
      <c r="Q13" s="515">
        <f t="shared" si="8"/>
        <v>111580</v>
      </c>
      <c r="R13" s="1164">
        <f t="shared" si="9"/>
        <v>118510</v>
      </c>
      <c r="S13" s="1165">
        <f t="shared" ref="S13" si="14">ROUND(AI13*(1-$G$71),2)</f>
        <v>0</v>
      </c>
      <c r="T13" s="1164">
        <f t="shared" si="10"/>
        <v>125557</v>
      </c>
      <c r="U13" s="1165">
        <f t="shared" si="11"/>
        <v>0</v>
      </c>
      <c r="V13" s="566">
        <v>40273</v>
      </c>
      <c r="W13" s="566">
        <v>43531</v>
      </c>
      <c r="X13" s="566">
        <v>0</v>
      </c>
      <c r="Y13" s="566">
        <v>44419</v>
      </c>
      <c r="Z13" s="566">
        <v>56501</v>
      </c>
      <c r="AA13" s="566">
        <v>62779</v>
      </c>
      <c r="AB13" s="566">
        <v>76697</v>
      </c>
      <c r="AC13" s="566">
        <v>83685</v>
      </c>
      <c r="AD13" s="566">
        <v>90614</v>
      </c>
      <c r="AE13" s="566">
        <v>97603</v>
      </c>
      <c r="AF13" s="566">
        <v>104591</v>
      </c>
      <c r="AG13" s="566">
        <v>111580</v>
      </c>
      <c r="AH13" s="566">
        <v>118510</v>
      </c>
      <c r="AI13" s="566">
        <v>0</v>
      </c>
      <c r="AJ13" s="566">
        <v>125557</v>
      </c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</row>
    <row r="14" spans="1:61" ht="60" customHeight="1">
      <c r="A14" s="1052"/>
      <c r="B14" s="1044"/>
      <c r="C14" s="1167"/>
      <c r="D14" s="1044">
        <v>2.4300000000000002</v>
      </c>
      <c r="E14" s="1044"/>
      <c r="F14" s="278">
        <f>ROUND(V14*(1-$G$71),2)</f>
        <v>48980</v>
      </c>
      <c r="G14" s="1164">
        <f t="shared" si="12"/>
        <v>52118</v>
      </c>
      <c r="H14" s="1165" t="str">
        <f t="shared" si="13"/>
        <v>0*</v>
      </c>
      <c r="I14" s="278" t="str">
        <f>ROUND(Y14*(1-$G$71),2)&amp;"*"</f>
        <v>53895*</v>
      </c>
      <c r="J14" s="278">
        <f t="shared" si="1"/>
        <v>68168</v>
      </c>
      <c r="K14" s="515">
        <f t="shared" si="2"/>
        <v>75275</v>
      </c>
      <c r="L14" s="515">
        <f t="shared" si="3"/>
        <v>92036</v>
      </c>
      <c r="M14" s="515">
        <f t="shared" si="4"/>
        <v>100446</v>
      </c>
      <c r="N14" s="515">
        <f t="shared" si="5"/>
        <v>108856</v>
      </c>
      <c r="O14" s="515">
        <f t="shared" si="6"/>
        <v>117147</v>
      </c>
      <c r="P14" s="515">
        <f t="shared" si="7"/>
        <v>125439</v>
      </c>
      <c r="Q14" s="515">
        <f t="shared" si="8"/>
        <v>133849</v>
      </c>
      <c r="R14" s="1164">
        <f t="shared" si="9"/>
        <v>142140</v>
      </c>
      <c r="S14" s="1165"/>
      <c r="T14" s="1164">
        <f t="shared" si="10"/>
        <v>150550</v>
      </c>
      <c r="U14" s="1165"/>
      <c r="V14" s="566">
        <v>48980</v>
      </c>
      <c r="W14" s="566">
        <v>52118</v>
      </c>
      <c r="X14" s="566">
        <v>0</v>
      </c>
      <c r="Y14" s="566">
        <v>53895</v>
      </c>
      <c r="Z14" s="566">
        <v>68168</v>
      </c>
      <c r="AA14" s="566">
        <v>75275</v>
      </c>
      <c r="AB14" s="566">
        <v>92036</v>
      </c>
      <c r="AC14" s="566">
        <v>100446</v>
      </c>
      <c r="AD14" s="566">
        <v>108856</v>
      </c>
      <c r="AE14" s="566">
        <v>117147</v>
      </c>
      <c r="AF14" s="566">
        <v>125439</v>
      </c>
      <c r="AG14" s="566">
        <v>133849</v>
      </c>
      <c r="AH14" s="566">
        <v>142140</v>
      </c>
      <c r="AI14" s="566">
        <v>0</v>
      </c>
      <c r="AJ14" s="566">
        <v>150550</v>
      </c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</row>
    <row r="15" spans="1:61" ht="15" customHeight="1">
      <c r="A15" s="355"/>
      <c r="B15" s="103"/>
      <c r="C15" s="107"/>
      <c r="D15" s="103"/>
      <c r="E15" s="103"/>
      <c r="F15" s="356"/>
      <c r="G15" s="356"/>
      <c r="H15" s="356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</row>
    <row r="16" spans="1:61">
      <c r="A16" s="1123" t="s">
        <v>164</v>
      </c>
      <c r="B16" s="1123"/>
      <c r="C16" s="1123"/>
      <c r="D16" s="1050" t="s">
        <v>257</v>
      </c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177" t="s">
        <v>288</v>
      </c>
      <c r="Q16" s="1177"/>
      <c r="R16" s="1177"/>
      <c r="S16" s="1177"/>
      <c r="T16" s="1177"/>
      <c r="U16" s="1177"/>
    </row>
    <row r="17" spans="1:25" ht="120.75" customHeight="1">
      <c r="A17" s="1168" t="s">
        <v>454</v>
      </c>
      <c r="B17" s="1169"/>
      <c r="C17" s="1170"/>
      <c r="D17" s="1171" t="s">
        <v>289</v>
      </c>
      <c r="E17" s="1172"/>
      <c r="F17" s="1172"/>
      <c r="G17" s="1172"/>
      <c r="H17" s="1172"/>
      <c r="I17" s="1172"/>
      <c r="J17" s="1172"/>
      <c r="K17" s="1172"/>
      <c r="L17" s="1172"/>
      <c r="M17" s="1172"/>
      <c r="N17" s="1172"/>
      <c r="O17" s="1173"/>
      <c r="P17" s="1174">
        <f>ROUND(V17*(1-$G$71),2)</f>
        <v>52280</v>
      </c>
      <c r="Q17" s="1175"/>
      <c r="R17" s="1175"/>
      <c r="S17" s="1175"/>
      <c r="T17" s="1175"/>
      <c r="U17" s="1176"/>
      <c r="V17" s="568">
        <v>52280</v>
      </c>
    </row>
    <row r="18" spans="1:25" ht="18.75" customHeight="1">
      <c r="A18" s="265"/>
      <c r="B18" s="103"/>
      <c r="C18" s="107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85"/>
    </row>
    <row r="19" spans="1:25" ht="29.25" customHeight="1">
      <c r="A19" s="1051" t="s">
        <v>63</v>
      </c>
      <c r="B19" s="1050" t="s">
        <v>164</v>
      </c>
      <c r="C19" s="1050" t="s">
        <v>53</v>
      </c>
      <c r="D19" s="1050" t="s">
        <v>168</v>
      </c>
      <c r="E19" s="1051" t="s">
        <v>169</v>
      </c>
      <c r="F19" s="1051"/>
      <c r="G19" s="1154"/>
      <c r="H19" s="426"/>
      <c r="I19" s="1178" t="s">
        <v>63</v>
      </c>
      <c r="J19" s="1050"/>
      <c r="K19" s="1050"/>
      <c r="L19" s="1050" t="s">
        <v>164</v>
      </c>
      <c r="M19" s="1050"/>
      <c r="N19" s="1050"/>
      <c r="O19" s="1050"/>
      <c r="P19" s="1050"/>
      <c r="Q19" s="1050"/>
      <c r="R19" s="1050"/>
      <c r="S19" s="1190" t="s">
        <v>288</v>
      </c>
      <c r="T19" s="1190"/>
      <c r="U19" s="1191"/>
    </row>
    <row r="20" spans="1:25" ht="29.25" customHeight="1">
      <c r="A20" s="1051"/>
      <c r="B20" s="1050"/>
      <c r="C20" s="1050"/>
      <c r="D20" s="1050"/>
      <c r="E20" s="604">
        <v>1</v>
      </c>
      <c r="F20" s="1051">
        <v>1.25</v>
      </c>
      <c r="G20" s="1154"/>
      <c r="H20" s="426"/>
      <c r="I20" s="1178"/>
      <c r="J20" s="1050"/>
      <c r="K20" s="1050"/>
      <c r="L20" s="1050"/>
      <c r="M20" s="1050"/>
      <c r="N20" s="1050"/>
      <c r="O20" s="1050"/>
      <c r="P20" s="1050"/>
      <c r="Q20" s="1050"/>
      <c r="R20" s="1050"/>
      <c r="S20" s="1192"/>
      <c r="T20" s="1192"/>
      <c r="U20" s="1193"/>
    </row>
    <row r="21" spans="1:25" ht="26.25" customHeight="1">
      <c r="A21" s="1043"/>
      <c r="B21" s="1167" t="s">
        <v>65</v>
      </c>
      <c r="C21" s="1167" t="s">
        <v>57</v>
      </c>
      <c r="D21" s="96">
        <v>1.03</v>
      </c>
      <c r="E21" s="417" t="str">
        <f>ROUND(V21*(1-$G$71),2)&amp;"*"</f>
        <v>13101*</v>
      </c>
      <c r="F21" s="1185">
        <f>ROUND(W21*(1-$G$71),2)</f>
        <v>15730</v>
      </c>
      <c r="G21" s="1186"/>
      <c r="H21" s="427"/>
      <c r="I21" s="1179"/>
      <c r="J21" s="1179"/>
      <c r="K21" s="1180"/>
      <c r="L21" s="1213" t="s">
        <v>440</v>
      </c>
      <c r="M21" s="1214"/>
      <c r="N21" s="1212" t="s">
        <v>441</v>
      </c>
      <c r="O21" s="1212"/>
      <c r="P21" s="1212"/>
      <c r="Q21" s="1212"/>
      <c r="R21" s="1212"/>
      <c r="S21" s="1206" t="str">
        <f>ROUND(Y23*(1-$G$71),2)&amp;"***"</f>
        <v>955***</v>
      </c>
      <c r="T21" s="1206"/>
      <c r="U21" s="1207"/>
      <c r="V21" s="566">
        <v>13101</v>
      </c>
      <c r="W21" s="566">
        <v>15730</v>
      </c>
      <c r="X21" s="566"/>
      <c r="Y21" s="566"/>
    </row>
    <row r="22" spans="1:25" ht="30.75" customHeight="1">
      <c r="A22" s="1043"/>
      <c r="B22" s="1167"/>
      <c r="C22" s="1167"/>
      <c r="D22" s="414">
        <v>1.53</v>
      </c>
      <c r="E22" s="416" t="str">
        <f t="shared" ref="E22:E25" si="15">ROUND(V22*(1-$G$71),2)&amp;"*"</f>
        <v>14640*</v>
      </c>
      <c r="F22" s="1187">
        <f t="shared" ref="F22:F25" si="16">ROUND(W22*(1-$G$71),2)</f>
        <v>17590</v>
      </c>
      <c r="G22" s="1188"/>
      <c r="H22" s="427"/>
      <c r="I22" s="1181"/>
      <c r="J22" s="1181"/>
      <c r="K22" s="1182"/>
      <c r="L22" s="1215"/>
      <c r="M22" s="1216"/>
      <c r="N22" s="1212"/>
      <c r="O22" s="1212"/>
      <c r="P22" s="1212"/>
      <c r="Q22" s="1212"/>
      <c r="R22" s="1212"/>
      <c r="S22" s="1208"/>
      <c r="T22" s="1208"/>
      <c r="U22" s="1209"/>
      <c r="V22" s="566">
        <v>14640</v>
      </c>
      <c r="W22" s="566">
        <v>17590</v>
      </c>
      <c r="X22" s="566"/>
      <c r="Y22" s="566"/>
    </row>
    <row r="23" spans="1:25" ht="35.25" customHeight="1">
      <c r="A23" s="1043"/>
      <c r="B23" s="1167"/>
      <c r="C23" s="1167"/>
      <c r="D23" s="413">
        <v>1.73</v>
      </c>
      <c r="E23" s="415" t="str">
        <f t="shared" si="15"/>
        <v>16761*</v>
      </c>
      <c r="F23" s="1189">
        <f t="shared" si="16"/>
        <v>20078</v>
      </c>
      <c r="G23" s="1164"/>
      <c r="H23" s="428"/>
      <c r="I23" s="1181"/>
      <c r="J23" s="1181"/>
      <c r="K23" s="1182"/>
      <c r="L23" s="1215"/>
      <c r="M23" s="1216"/>
      <c r="N23" s="1212"/>
      <c r="O23" s="1212"/>
      <c r="P23" s="1212"/>
      <c r="Q23" s="1212"/>
      <c r="R23" s="1212"/>
      <c r="S23" s="1208"/>
      <c r="T23" s="1208"/>
      <c r="U23" s="1209"/>
      <c r="V23" s="566">
        <v>16761</v>
      </c>
      <c r="W23" s="566">
        <v>20078</v>
      </c>
      <c r="X23" s="566"/>
      <c r="Y23" s="566">
        <v>955</v>
      </c>
    </row>
    <row r="24" spans="1:25" ht="31.5" customHeight="1">
      <c r="A24" s="1043"/>
      <c r="B24" s="1167"/>
      <c r="C24" s="1167"/>
      <c r="D24" s="413">
        <v>2.0299999999999998</v>
      </c>
      <c r="E24" s="415" t="str">
        <f t="shared" si="15"/>
        <v>19544*</v>
      </c>
      <c r="F24" s="1189">
        <f t="shared" si="16"/>
        <v>23453</v>
      </c>
      <c r="G24" s="1164"/>
      <c r="H24" s="428"/>
      <c r="I24" s="1181"/>
      <c r="J24" s="1181"/>
      <c r="K24" s="1182"/>
      <c r="L24" s="1215"/>
      <c r="M24" s="1216"/>
      <c r="N24" s="1212"/>
      <c r="O24" s="1212"/>
      <c r="P24" s="1212"/>
      <c r="Q24" s="1212"/>
      <c r="R24" s="1212"/>
      <c r="S24" s="1208"/>
      <c r="T24" s="1208"/>
      <c r="U24" s="1209"/>
      <c r="V24" s="566">
        <v>19544</v>
      </c>
      <c r="W24" s="566">
        <v>23453</v>
      </c>
      <c r="X24" s="566"/>
      <c r="Y24" s="566"/>
    </row>
    <row r="25" spans="1:25" ht="33" customHeight="1">
      <c r="A25" s="1043"/>
      <c r="B25" s="1167"/>
      <c r="C25" s="1167"/>
      <c r="D25" s="413">
        <v>2.4300000000000002</v>
      </c>
      <c r="E25" s="415" t="str">
        <f t="shared" si="15"/>
        <v>22328*</v>
      </c>
      <c r="F25" s="1189">
        <f t="shared" si="16"/>
        <v>26770</v>
      </c>
      <c r="G25" s="1164"/>
      <c r="H25" s="428"/>
      <c r="I25" s="1183"/>
      <c r="J25" s="1183"/>
      <c r="K25" s="1184"/>
      <c r="L25" s="1217"/>
      <c r="M25" s="1218"/>
      <c r="N25" s="1212"/>
      <c r="O25" s="1212"/>
      <c r="P25" s="1212"/>
      <c r="Q25" s="1212"/>
      <c r="R25" s="1212"/>
      <c r="S25" s="1210"/>
      <c r="T25" s="1210"/>
      <c r="U25" s="1211"/>
      <c r="V25" s="566">
        <v>22328</v>
      </c>
      <c r="W25" s="566">
        <v>26770</v>
      </c>
      <c r="X25" s="566"/>
      <c r="Y25" s="566"/>
    </row>
    <row r="26" spans="1:25" ht="16.5" customHeight="1">
      <c r="A26" s="106"/>
      <c r="B26" s="418"/>
      <c r="C26" s="418"/>
      <c r="D26" s="103"/>
      <c r="E26" s="356"/>
      <c r="F26" s="356"/>
      <c r="G26" s="193"/>
      <c r="H26" s="193"/>
      <c r="I26" s="392"/>
      <c r="J26" s="424"/>
      <c r="K26" s="424"/>
      <c r="L26" s="424"/>
      <c r="M26" s="424"/>
      <c r="N26" s="423"/>
      <c r="O26" s="423"/>
      <c r="P26" s="423"/>
      <c r="Q26" s="423"/>
      <c r="R26" s="423"/>
      <c r="S26" s="419"/>
      <c r="T26" s="419"/>
      <c r="U26" s="419"/>
    </row>
    <row r="27" spans="1:25" ht="33" customHeight="1">
      <c r="A27" s="605" t="s">
        <v>63</v>
      </c>
      <c r="B27" s="1137" t="s">
        <v>164</v>
      </c>
      <c r="C27" s="1138"/>
      <c r="D27" s="1137" t="s">
        <v>257</v>
      </c>
      <c r="E27" s="1224"/>
      <c r="F27" s="1224"/>
      <c r="G27" s="1224"/>
      <c r="H27" s="1138"/>
      <c r="I27" s="1221" t="s">
        <v>490</v>
      </c>
      <c r="J27" s="1222"/>
      <c r="K27" s="1222"/>
      <c r="L27" s="1222"/>
      <c r="M27" s="1223"/>
      <c r="N27" s="1219" t="s">
        <v>288</v>
      </c>
      <c r="O27" s="1219"/>
      <c r="P27" s="1219"/>
      <c r="Q27" s="1219"/>
      <c r="R27" s="1219"/>
      <c r="S27" s="1219"/>
      <c r="T27" s="1219"/>
      <c r="U27" s="1219"/>
    </row>
    <row r="28" spans="1:25" ht="75" customHeight="1">
      <c r="A28" s="425"/>
      <c r="B28" s="1139" t="s">
        <v>491</v>
      </c>
      <c r="C28" s="1140"/>
      <c r="D28" s="1139" t="s">
        <v>492</v>
      </c>
      <c r="E28" s="1225"/>
      <c r="F28" s="1225"/>
      <c r="G28" s="1225"/>
      <c r="H28" s="1140"/>
      <c r="I28" s="1141" t="s">
        <v>493</v>
      </c>
      <c r="J28" s="1141"/>
      <c r="K28" s="1141"/>
      <c r="L28" s="1141"/>
      <c r="M28" s="1141"/>
      <c r="N28" s="1220">
        <f>ROUND(V28*(1-$G$70),2)</f>
        <v>300</v>
      </c>
      <c r="O28" s="1220"/>
      <c r="P28" s="1220"/>
      <c r="Q28" s="1220"/>
      <c r="R28" s="1220"/>
      <c r="S28" s="1220"/>
      <c r="T28" s="1220"/>
      <c r="U28" s="1220"/>
      <c r="V28" s="568">
        <v>300</v>
      </c>
    </row>
    <row r="29" spans="1:25" ht="15" customHeight="1">
      <c r="A29" s="265"/>
      <c r="B29" s="103"/>
      <c r="C29" s="107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85"/>
    </row>
    <row r="30" spans="1:25" ht="26.25" customHeight="1">
      <c r="A30" s="1065" t="s">
        <v>63</v>
      </c>
      <c r="B30" s="1234" t="s">
        <v>164</v>
      </c>
      <c r="C30" s="1191"/>
      <c r="D30" s="1050" t="s">
        <v>308</v>
      </c>
      <c r="E30" s="1050"/>
      <c r="F30" s="1050"/>
      <c r="G30" s="1051" t="s">
        <v>66</v>
      </c>
      <c r="H30" s="1051"/>
      <c r="I30" s="1051"/>
      <c r="J30" s="1051"/>
      <c r="K30" s="1051" t="s">
        <v>309</v>
      </c>
      <c r="L30" s="1051"/>
      <c r="M30" s="1051" t="s">
        <v>288</v>
      </c>
      <c r="N30" s="1051"/>
      <c r="O30" s="1051"/>
      <c r="P30" s="1051"/>
      <c r="Q30" s="1051"/>
      <c r="R30" s="1051"/>
      <c r="S30" s="1051"/>
      <c r="T30" s="1051"/>
      <c r="U30" s="1051"/>
    </row>
    <row r="31" spans="1:25" ht="18" customHeight="1">
      <c r="A31" s="1066"/>
      <c r="B31" s="1235"/>
      <c r="C31" s="1193"/>
      <c r="D31" s="1050"/>
      <c r="E31" s="1050"/>
      <c r="F31" s="1050"/>
      <c r="G31" s="1051"/>
      <c r="H31" s="1051"/>
      <c r="I31" s="1051"/>
      <c r="J31" s="1051"/>
      <c r="K31" s="1051"/>
      <c r="L31" s="1051"/>
      <c r="M31" s="1051"/>
      <c r="N31" s="1051"/>
      <c r="O31" s="1051"/>
      <c r="P31" s="1051"/>
      <c r="Q31" s="1051"/>
      <c r="R31" s="1051"/>
      <c r="S31" s="1051"/>
      <c r="T31" s="1051"/>
      <c r="U31" s="1051"/>
    </row>
    <row r="32" spans="1:25" ht="43.5" customHeight="1">
      <c r="A32" s="764"/>
      <c r="B32" s="1226" t="s">
        <v>217</v>
      </c>
      <c r="C32" s="1180"/>
      <c r="D32" s="1228" t="s">
        <v>141</v>
      </c>
      <c r="E32" s="1229"/>
      <c r="F32" s="1230"/>
      <c r="G32" s="1194" t="s">
        <v>336</v>
      </c>
      <c r="H32" s="1195"/>
      <c r="I32" s="1195"/>
      <c r="J32" s="1196"/>
      <c r="K32" s="1200">
        <v>33</v>
      </c>
      <c r="L32" s="1201"/>
      <c r="M32" s="1204">
        <f>ROUND(V32*(1-$G$71),2)</f>
        <v>18620</v>
      </c>
      <c r="N32" s="1204"/>
      <c r="O32" s="1204"/>
      <c r="P32" s="1204"/>
      <c r="Q32" s="1204"/>
      <c r="R32" s="1204"/>
      <c r="S32" s="1204"/>
      <c r="T32" s="1204"/>
      <c r="U32" s="1204"/>
      <c r="V32" s="566">
        <v>18620</v>
      </c>
      <c r="W32" s="567"/>
    </row>
    <row r="33" spans="1:26" ht="39" customHeight="1">
      <c r="A33" s="764"/>
      <c r="B33" s="1227"/>
      <c r="C33" s="1184"/>
      <c r="D33" s="1231" t="s">
        <v>142</v>
      </c>
      <c r="E33" s="1232"/>
      <c r="F33" s="1233"/>
      <c r="G33" s="1197"/>
      <c r="H33" s="1198"/>
      <c r="I33" s="1198"/>
      <c r="J33" s="1199"/>
      <c r="K33" s="1202">
        <v>38</v>
      </c>
      <c r="L33" s="1203"/>
      <c r="M33" s="1205">
        <f t="shared" ref="M33:M39" si="17">ROUND(V33*(1-$G$71),2)</f>
        <v>20847</v>
      </c>
      <c r="N33" s="1205"/>
      <c r="O33" s="1205"/>
      <c r="P33" s="1205"/>
      <c r="Q33" s="1205"/>
      <c r="R33" s="1205"/>
      <c r="S33" s="1205"/>
      <c r="T33" s="1205"/>
      <c r="U33" s="1205"/>
      <c r="V33" s="566">
        <v>20847</v>
      </c>
      <c r="W33" s="567"/>
    </row>
    <row r="34" spans="1:26" ht="41.25" customHeight="1">
      <c r="A34" s="1236"/>
      <c r="B34" s="1226" t="s">
        <v>218</v>
      </c>
      <c r="C34" s="1180"/>
      <c r="D34" s="1228" t="s">
        <v>143</v>
      </c>
      <c r="E34" s="1229"/>
      <c r="F34" s="1230"/>
      <c r="G34" s="1194" t="s">
        <v>336</v>
      </c>
      <c r="H34" s="1195"/>
      <c r="I34" s="1195"/>
      <c r="J34" s="1196"/>
      <c r="K34" s="1238">
        <v>38.5</v>
      </c>
      <c r="L34" s="1239"/>
      <c r="M34" s="1204">
        <f t="shared" si="17"/>
        <v>21439</v>
      </c>
      <c r="N34" s="1204"/>
      <c r="O34" s="1204"/>
      <c r="P34" s="1204"/>
      <c r="Q34" s="1204"/>
      <c r="R34" s="1204"/>
      <c r="S34" s="1204"/>
      <c r="T34" s="1204"/>
      <c r="U34" s="1204"/>
      <c r="V34" s="566">
        <v>21439</v>
      </c>
      <c r="W34" s="567"/>
    </row>
    <row r="35" spans="1:26" ht="37.5" customHeight="1">
      <c r="A35" s="1237"/>
      <c r="B35" s="1227"/>
      <c r="C35" s="1184"/>
      <c r="D35" s="1231" t="s">
        <v>144</v>
      </c>
      <c r="E35" s="1232"/>
      <c r="F35" s="1233"/>
      <c r="G35" s="1197"/>
      <c r="H35" s="1198"/>
      <c r="I35" s="1198"/>
      <c r="J35" s="1199"/>
      <c r="K35" s="1240">
        <v>66</v>
      </c>
      <c r="L35" s="1241"/>
      <c r="M35" s="1187">
        <f t="shared" si="17"/>
        <v>26119</v>
      </c>
      <c r="N35" s="1187"/>
      <c r="O35" s="1187"/>
      <c r="P35" s="1187"/>
      <c r="Q35" s="1187"/>
      <c r="R35" s="1187"/>
      <c r="S35" s="1187"/>
      <c r="T35" s="1187"/>
      <c r="U35" s="1187"/>
      <c r="V35" s="566">
        <v>26119</v>
      </c>
      <c r="W35" s="567"/>
    </row>
    <row r="36" spans="1:26" ht="37.5" customHeight="1">
      <c r="A36" s="764"/>
      <c r="B36" s="1226" t="s">
        <v>228</v>
      </c>
      <c r="C36" s="1180"/>
      <c r="D36" s="1228" t="s">
        <v>145</v>
      </c>
      <c r="E36" s="1229"/>
      <c r="F36" s="1230"/>
      <c r="G36" s="1194" t="s">
        <v>336</v>
      </c>
      <c r="H36" s="1195"/>
      <c r="I36" s="1195"/>
      <c r="J36" s="1196"/>
      <c r="K36" s="1200">
        <v>70</v>
      </c>
      <c r="L36" s="1201"/>
      <c r="M36" s="1204">
        <f t="shared" si="17"/>
        <v>38259</v>
      </c>
      <c r="N36" s="1204"/>
      <c r="O36" s="1204"/>
      <c r="P36" s="1204"/>
      <c r="Q36" s="1204"/>
      <c r="R36" s="1204"/>
      <c r="S36" s="1204"/>
      <c r="T36" s="1204"/>
      <c r="U36" s="1204"/>
      <c r="V36" s="566">
        <v>38259</v>
      </c>
      <c r="W36" s="567"/>
    </row>
    <row r="37" spans="1:26" ht="35.25" customHeight="1">
      <c r="A37" s="764"/>
      <c r="B37" s="1227"/>
      <c r="C37" s="1184"/>
      <c r="D37" s="1231" t="s">
        <v>146</v>
      </c>
      <c r="E37" s="1232"/>
      <c r="F37" s="1233"/>
      <c r="G37" s="1197"/>
      <c r="H37" s="1198"/>
      <c r="I37" s="1198"/>
      <c r="J37" s="1199"/>
      <c r="K37" s="1202">
        <v>81</v>
      </c>
      <c r="L37" s="1203"/>
      <c r="M37" s="1205">
        <f t="shared" si="17"/>
        <v>45118</v>
      </c>
      <c r="N37" s="1205"/>
      <c r="O37" s="1205"/>
      <c r="P37" s="1205"/>
      <c r="Q37" s="1205"/>
      <c r="R37" s="1205"/>
      <c r="S37" s="1205"/>
      <c r="T37" s="1205"/>
      <c r="U37" s="1205"/>
      <c r="V37" s="566">
        <v>45118</v>
      </c>
      <c r="W37" s="567"/>
    </row>
    <row r="38" spans="1:26" ht="41.25" customHeight="1">
      <c r="A38" s="1236"/>
      <c r="B38" s="1226" t="s">
        <v>229</v>
      </c>
      <c r="C38" s="1180"/>
      <c r="D38" s="1228" t="s">
        <v>146</v>
      </c>
      <c r="E38" s="1229"/>
      <c r="F38" s="1230"/>
      <c r="G38" s="1194" t="s">
        <v>336</v>
      </c>
      <c r="H38" s="1195"/>
      <c r="I38" s="1195"/>
      <c r="J38" s="1196"/>
      <c r="K38" s="1200">
        <v>85</v>
      </c>
      <c r="L38" s="1201"/>
      <c r="M38" s="1204">
        <f t="shared" si="17"/>
        <v>48269</v>
      </c>
      <c r="N38" s="1204"/>
      <c r="O38" s="1204"/>
      <c r="P38" s="1204"/>
      <c r="Q38" s="1204"/>
      <c r="R38" s="1204"/>
      <c r="S38" s="1204"/>
      <c r="T38" s="1204"/>
      <c r="U38" s="1204"/>
      <c r="V38" s="566">
        <v>48269</v>
      </c>
      <c r="W38" s="567"/>
    </row>
    <row r="39" spans="1:26" ht="37.5" customHeight="1">
      <c r="A39" s="1237"/>
      <c r="B39" s="1227"/>
      <c r="C39" s="1184"/>
      <c r="D39" s="1231" t="s">
        <v>147</v>
      </c>
      <c r="E39" s="1232"/>
      <c r="F39" s="1233"/>
      <c r="G39" s="1197"/>
      <c r="H39" s="1198"/>
      <c r="I39" s="1198"/>
      <c r="J39" s="1199"/>
      <c r="K39" s="1240">
        <v>128</v>
      </c>
      <c r="L39" s="1241"/>
      <c r="M39" s="1205">
        <f t="shared" si="17"/>
        <v>60232</v>
      </c>
      <c r="N39" s="1205"/>
      <c r="O39" s="1205"/>
      <c r="P39" s="1205"/>
      <c r="Q39" s="1205"/>
      <c r="R39" s="1205"/>
      <c r="S39" s="1205"/>
      <c r="T39" s="1205"/>
      <c r="U39" s="1205"/>
      <c r="V39" s="566">
        <v>60232</v>
      </c>
      <c r="W39" s="567"/>
    </row>
    <row r="40" spans="1:26" ht="19.5" customHeight="1">
      <c r="A40" s="106"/>
      <c r="B40" s="107"/>
      <c r="C40" s="108"/>
      <c r="D40" s="103"/>
      <c r="E40" s="103"/>
      <c r="F40" s="103"/>
      <c r="G40" s="73"/>
      <c r="H40" s="73"/>
      <c r="I40" s="73"/>
      <c r="J40" s="73"/>
      <c r="K40" s="1"/>
      <c r="L40" s="67"/>
      <c r="M40" s="73"/>
      <c r="N40" s="73"/>
      <c r="O40" s="73"/>
      <c r="P40" s="73"/>
      <c r="Q40" s="73"/>
      <c r="R40" s="73"/>
      <c r="S40" s="73"/>
      <c r="T40" s="312"/>
      <c r="U40" s="312"/>
    </row>
    <row r="41" spans="1:26" ht="57.75" customHeight="1">
      <c r="A41" s="1050" t="s">
        <v>317</v>
      </c>
      <c r="B41" s="1050"/>
      <c r="C41" s="1242" t="s">
        <v>356</v>
      </c>
      <c r="D41" s="1242"/>
      <c r="E41" s="1242"/>
      <c r="F41" s="1242"/>
      <c r="G41" s="1242"/>
      <c r="H41" s="1242"/>
      <c r="I41" s="1242"/>
      <c r="J41" s="1242"/>
      <c r="K41" s="1242"/>
      <c r="L41" s="1242"/>
      <c r="M41" s="1242"/>
      <c r="N41" s="1242"/>
      <c r="O41" s="1242"/>
      <c r="P41" s="1242"/>
      <c r="Q41" s="1242"/>
      <c r="R41" s="1242"/>
      <c r="S41" s="1242"/>
      <c r="T41" s="1242"/>
      <c r="U41" s="1242"/>
    </row>
    <row r="42" spans="1:26" ht="60.75" customHeight="1">
      <c r="A42" s="1050"/>
      <c r="B42" s="1050"/>
      <c r="C42" s="1242"/>
      <c r="D42" s="1242"/>
      <c r="E42" s="1242"/>
      <c r="F42" s="1242"/>
      <c r="G42" s="1242"/>
      <c r="H42" s="1242"/>
      <c r="I42" s="1242"/>
      <c r="J42" s="1242"/>
      <c r="K42" s="1242"/>
      <c r="L42" s="1242"/>
      <c r="M42" s="1242"/>
      <c r="N42" s="1242"/>
      <c r="O42" s="1242"/>
      <c r="P42" s="1242"/>
      <c r="Q42" s="1242"/>
      <c r="R42" s="1242"/>
      <c r="S42" s="1242"/>
      <c r="T42" s="1242"/>
      <c r="U42" s="1242"/>
    </row>
    <row r="43" spans="1:26" ht="17.25" customHeight="1">
      <c r="A43" s="106"/>
      <c r="B43" s="107"/>
      <c r="C43" s="108"/>
      <c r="D43" s="103"/>
      <c r="E43" s="103"/>
      <c r="F43" s="103"/>
      <c r="G43" s="73"/>
      <c r="H43" s="73"/>
      <c r="I43" s="73"/>
      <c r="J43" s="73"/>
      <c r="K43" s="1"/>
      <c r="L43" s="67"/>
      <c r="M43" s="73"/>
      <c r="N43" s="73"/>
      <c r="O43" s="73"/>
      <c r="P43" s="73"/>
      <c r="Q43" s="73"/>
      <c r="R43" s="73"/>
      <c r="S43" s="73"/>
    </row>
    <row r="44" spans="1:26" ht="30" customHeight="1">
      <c r="A44" s="1065" t="s">
        <v>63</v>
      </c>
      <c r="B44" s="1063" t="s">
        <v>164</v>
      </c>
      <c r="C44" s="1063" t="s">
        <v>53</v>
      </c>
      <c r="D44" s="1063" t="s">
        <v>168</v>
      </c>
      <c r="E44" s="1051" t="s">
        <v>169</v>
      </c>
      <c r="F44" s="1051"/>
      <c r="G44" s="1051"/>
      <c r="H44" s="1051"/>
      <c r="I44" s="1051"/>
      <c r="K44" s="1146" t="s">
        <v>63</v>
      </c>
      <c r="L44" s="1147"/>
      <c r="M44" s="1234" t="s">
        <v>164</v>
      </c>
      <c r="N44" s="1191"/>
      <c r="O44" s="1281" t="s">
        <v>53</v>
      </c>
      <c r="P44" s="1063" t="s">
        <v>168</v>
      </c>
      <c r="Q44" s="1268" t="s">
        <v>169</v>
      </c>
      <c r="R44" s="1268"/>
      <c r="S44" s="1268"/>
      <c r="T44" s="1268"/>
      <c r="U44" s="1268"/>
    </row>
    <row r="45" spans="1:26" ht="30" customHeight="1">
      <c r="A45" s="1276"/>
      <c r="B45" s="1267"/>
      <c r="C45" s="1267"/>
      <c r="D45" s="1267"/>
      <c r="E45" s="1051">
        <v>1</v>
      </c>
      <c r="F45" s="1051"/>
      <c r="G45" s="1051"/>
      <c r="H45" s="1051"/>
      <c r="I45" s="1051"/>
      <c r="K45" s="1277"/>
      <c r="L45" s="1278"/>
      <c r="M45" s="1279"/>
      <c r="N45" s="1280"/>
      <c r="O45" s="1282"/>
      <c r="P45" s="1267"/>
      <c r="Q45" s="1268">
        <v>3.5</v>
      </c>
      <c r="R45" s="1268"/>
      <c r="S45" s="1268">
        <v>3.5</v>
      </c>
      <c r="T45" s="1268"/>
      <c r="U45" s="1268"/>
    </row>
    <row r="46" spans="1:26" ht="54" customHeight="1">
      <c r="A46" s="1066"/>
      <c r="B46" s="1064"/>
      <c r="C46" s="1064"/>
      <c r="D46" s="1064"/>
      <c r="E46" s="1269" t="s">
        <v>419</v>
      </c>
      <c r="F46" s="1270"/>
      <c r="G46" s="1269" t="s">
        <v>420</v>
      </c>
      <c r="H46" s="1271"/>
      <c r="I46" s="1270"/>
      <c r="K46" s="1148"/>
      <c r="L46" s="1149"/>
      <c r="M46" s="1235"/>
      <c r="N46" s="1193"/>
      <c r="O46" s="1283"/>
      <c r="P46" s="1267"/>
      <c r="Q46" s="1269" t="s">
        <v>409</v>
      </c>
      <c r="R46" s="1272"/>
      <c r="S46" s="1269" t="s">
        <v>410</v>
      </c>
      <c r="T46" s="1271"/>
      <c r="U46" s="1272"/>
    </row>
    <row r="47" spans="1:26" ht="39.75" customHeight="1">
      <c r="A47" s="1043"/>
      <c r="B47" s="1284" t="s">
        <v>154</v>
      </c>
      <c r="C47" s="1167" t="s">
        <v>411</v>
      </c>
      <c r="D47" s="448">
        <v>1.03</v>
      </c>
      <c r="E47" s="1185">
        <f>ROUND(V47*(1-$G$71),2)</f>
        <v>8575</v>
      </c>
      <c r="F47" s="1185"/>
      <c r="G47" s="1185" t="str">
        <f>ROUND(W47*(1-$G$71),2)&amp;"*"</f>
        <v>9345*</v>
      </c>
      <c r="H47" s="1185"/>
      <c r="I47" s="1185"/>
      <c r="K47" s="235"/>
      <c r="L47" s="236"/>
      <c r="M47" s="1285" t="s">
        <v>132</v>
      </c>
      <c r="N47" s="1286"/>
      <c r="O47" s="1259" t="s">
        <v>408</v>
      </c>
      <c r="P47" s="96">
        <v>1.03</v>
      </c>
      <c r="Q47" s="1186">
        <f>ROUND(Y47*(1-$G$71),2)</f>
        <v>21379</v>
      </c>
      <c r="R47" s="1266"/>
      <c r="S47" s="1186" t="str">
        <f>ROUND(Z47*(1-$G$71),2)&amp;"*"</f>
        <v>21929*</v>
      </c>
      <c r="T47" s="1265"/>
      <c r="U47" s="1266"/>
      <c r="V47" s="566">
        <v>8575</v>
      </c>
      <c r="W47" s="566">
        <v>9345</v>
      </c>
      <c r="X47" s="566"/>
      <c r="Y47" s="566">
        <v>21379</v>
      </c>
      <c r="Z47" s="566">
        <v>21929</v>
      </c>
    </row>
    <row r="48" spans="1:26" ht="39.75" customHeight="1">
      <c r="A48" s="1043"/>
      <c r="B48" s="1284"/>
      <c r="C48" s="1167"/>
      <c r="D48" s="440">
        <v>1.53</v>
      </c>
      <c r="E48" s="1187">
        <f t="shared" ref="E48:E50" si="18">ROUND(V48*(1-$G$71),2)</f>
        <v>9741</v>
      </c>
      <c r="F48" s="1187"/>
      <c r="G48" s="1185" t="str">
        <f>ROUND(W48*(1-$G$71),2)&amp;"****"</f>
        <v>10731****</v>
      </c>
      <c r="H48" s="1185"/>
      <c r="I48" s="1185"/>
      <c r="K48" s="237"/>
      <c r="L48" s="239"/>
      <c r="M48" s="1287"/>
      <c r="N48" s="1288"/>
      <c r="O48" s="1059"/>
      <c r="P48" s="263">
        <v>1.53</v>
      </c>
      <c r="Q48" s="1188">
        <f>ROUND(Y48*(1-$G$71),2)</f>
        <v>22745</v>
      </c>
      <c r="R48" s="1273"/>
      <c r="S48" s="1186" t="str">
        <f>ROUND(Z48*(1-$G$71),2)&amp;"****"</f>
        <v>23317****</v>
      </c>
      <c r="T48" s="1265"/>
      <c r="U48" s="1266"/>
      <c r="V48" s="566">
        <v>9741</v>
      </c>
      <c r="W48" s="566">
        <v>10731</v>
      </c>
      <c r="X48" s="566"/>
      <c r="Y48" s="566">
        <v>22745</v>
      </c>
      <c r="Z48" s="566">
        <v>23317</v>
      </c>
    </row>
    <row r="49" spans="1:48" ht="39.75" customHeight="1">
      <c r="A49" s="1043"/>
      <c r="B49" s="1284"/>
      <c r="C49" s="1167"/>
      <c r="D49" s="438">
        <v>1.73</v>
      </c>
      <c r="E49" s="1189">
        <f t="shared" si="18"/>
        <v>10437</v>
      </c>
      <c r="F49" s="1189"/>
      <c r="G49" s="1185" t="str">
        <f>ROUND(W49*(1-$G$71),2)&amp;"****"</f>
        <v>11765****</v>
      </c>
      <c r="H49" s="1185"/>
      <c r="I49" s="1185"/>
      <c r="K49" s="237"/>
      <c r="L49" s="239"/>
      <c r="M49" s="1287"/>
      <c r="N49" s="1288"/>
      <c r="O49" s="1059"/>
      <c r="P49" s="262">
        <v>1.73</v>
      </c>
      <c r="Q49" s="1274">
        <f>ROUND(Y49*(1-$G$71),2)</f>
        <v>26142</v>
      </c>
      <c r="R49" s="1275"/>
      <c r="S49" s="1186" t="str">
        <f>ROUND(Z49*(1-$G$71),2)&amp;"****"</f>
        <v>27096****</v>
      </c>
      <c r="T49" s="1265"/>
      <c r="U49" s="1266"/>
      <c r="V49" s="566">
        <v>10437</v>
      </c>
      <c r="W49" s="566">
        <v>11765</v>
      </c>
      <c r="X49" s="566"/>
      <c r="Y49" s="566">
        <v>26142</v>
      </c>
      <c r="Z49" s="566">
        <v>27096</v>
      </c>
    </row>
    <row r="50" spans="1:48" ht="39.75" customHeight="1">
      <c r="A50" s="1043"/>
      <c r="B50" s="1284"/>
      <c r="C50" s="1167"/>
      <c r="D50" s="439">
        <v>2.0299999999999998</v>
      </c>
      <c r="E50" s="1189">
        <f t="shared" si="18"/>
        <v>10867</v>
      </c>
      <c r="F50" s="1189"/>
      <c r="G50" s="1185" t="str">
        <f>ROUND(W50*(1-$G$71),2)&amp;"****"</f>
        <v>12716****</v>
      </c>
      <c r="H50" s="1185"/>
      <c r="I50" s="1185"/>
      <c r="K50" s="240"/>
      <c r="L50" s="239"/>
      <c r="M50" s="1287"/>
      <c r="N50" s="1288"/>
      <c r="O50" s="1059"/>
      <c r="P50" s="261">
        <v>2.0299999999999998</v>
      </c>
      <c r="Q50" s="1274">
        <f>ROUND(Y50*(1-$G$71),2)</f>
        <v>26925</v>
      </c>
      <c r="R50" s="1275"/>
      <c r="S50" s="1186" t="str">
        <f>ROUND(Z50*(1-$G$71),2)&amp;"****"</f>
        <v>27880****</v>
      </c>
      <c r="T50" s="1265"/>
      <c r="U50" s="1266"/>
      <c r="V50" s="566">
        <v>10867</v>
      </c>
      <c r="W50" s="566">
        <v>12716</v>
      </c>
      <c r="X50" s="566"/>
      <c r="Y50" s="566">
        <v>26925</v>
      </c>
      <c r="Z50" s="566">
        <v>27880</v>
      </c>
    </row>
    <row r="51" spans="1:48" ht="17.25" customHeight="1">
      <c r="K51" s="238"/>
      <c r="L51" s="169"/>
      <c r="M51" s="169"/>
      <c r="N51" s="169"/>
      <c r="O51" s="169"/>
      <c r="P51" s="169"/>
      <c r="Q51" s="169"/>
      <c r="R51" s="169"/>
      <c r="S51" s="242"/>
      <c r="T51" s="242"/>
    </row>
    <row r="52" spans="1:48" ht="32.25" customHeight="1">
      <c r="A52" s="1051" t="s">
        <v>63</v>
      </c>
      <c r="B52" s="1162" t="s">
        <v>164</v>
      </c>
      <c r="C52" s="1162"/>
      <c r="D52" s="1050" t="s">
        <v>168</v>
      </c>
      <c r="E52" s="1162" t="s">
        <v>169</v>
      </c>
      <c r="F52" s="1162"/>
      <c r="G52" s="1162"/>
      <c r="H52" s="1162"/>
      <c r="I52" s="1162"/>
      <c r="J52" s="238"/>
      <c r="K52" s="1146" t="s">
        <v>63</v>
      </c>
      <c r="L52" s="1147"/>
      <c r="M52" s="1146" t="s">
        <v>164</v>
      </c>
      <c r="N52" s="1150"/>
      <c r="O52" s="1147"/>
      <c r="P52" s="1063" t="s">
        <v>168</v>
      </c>
      <c r="Q52" s="1154" t="s">
        <v>169</v>
      </c>
      <c r="R52" s="1155"/>
      <c r="S52" s="1155"/>
      <c r="T52" s="1155"/>
      <c r="U52" s="1156"/>
    </row>
    <row r="53" spans="1:48" ht="28.5" customHeight="1">
      <c r="A53" s="1051"/>
      <c r="B53" s="1162"/>
      <c r="C53" s="1162"/>
      <c r="D53" s="1050"/>
      <c r="E53" s="1152">
        <v>1</v>
      </c>
      <c r="F53" s="1153"/>
      <c r="G53" s="1154">
        <v>3.45</v>
      </c>
      <c r="H53" s="1155"/>
      <c r="I53" s="1156"/>
      <c r="J53" s="238"/>
      <c r="K53" s="1148"/>
      <c r="L53" s="1149"/>
      <c r="M53" s="1148"/>
      <c r="N53" s="1151"/>
      <c r="O53" s="1149"/>
      <c r="P53" s="1064"/>
      <c r="Q53" s="1162">
        <v>1</v>
      </c>
      <c r="R53" s="1162"/>
      <c r="S53" s="1162">
        <v>5</v>
      </c>
      <c r="T53" s="1162"/>
      <c r="U53" s="1162"/>
    </row>
    <row r="54" spans="1:48" ht="41.25" customHeight="1">
      <c r="A54" s="1289"/>
      <c r="B54" s="1285" t="s">
        <v>112</v>
      </c>
      <c r="C54" s="1286"/>
      <c r="D54" s="504" t="s">
        <v>556</v>
      </c>
      <c r="E54" s="1157">
        <f>ROUND(V54*(1-$G$71),2)</f>
        <v>9610</v>
      </c>
      <c r="F54" s="1158"/>
      <c r="G54" s="1159" t="s">
        <v>44</v>
      </c>
      <c r="H54" s="1160"/>
      <c r="I54" s="1161"/>
      <c r="J54" s="238"/>
      <c r="K54" s="1249"/>
      <c r="L54" s="1251"/>
      <c r="M54" s="1291" t="s">
        <v>421</v>
      </c>
      <c r="N54" s="1292"/>
      <c r="O54" s="1293"/>
      <c r="P54" s="1303">
        <v>1.95</v>
      </c>
      <c r="Q54" s="1249">
        <f>ROUND(Y54*(1-$G$71),2)</f>
        <v>9779</v>
      </c>
      <c r="R54" s="1251"/>
      <c r="S54" s="1243" t="s">
        <v>44</v>
      </c>
      <c r="T54" s="1244"/>
      <c r="U54" s="1245"/>
      <c r="V54" s="566">
        <v>9610</v>
      </c>
      <c r="W54" s="566"/>
      <c r="X54" s="566"/>
      <c r="Y54" s="566">
        <v>9779</v>
      </c>
      <c r="Z54" s="566"/>
    </row>
    <row r="55" spans="1:48" s="1" customFormat="1" ht="38.25" customHeight="1">
      <c r="A55" s="1290"/>
      <c r="B55" s="1305"/>
      <c r="C55" s="1306"/>
      <c r="D55" s="332">
        <v>2</v>
      </c>
      <c r="E55" s="1157">
        <f>ROUND(V55*(1-$G$71),2)</f>
        <v>9994</v>
      </c>
      <c r="F55" s="1158"/>
      <c r="G55" s="1159" t="s">
        <v>44</v>
      </c>
      <c r="H55" s="1160"/>
      <c r="I55" s="1161"/>
      <c r="J55" s="333"/>
      <c r="K55" s="1252"/>
      <c r="L55" s="1254"/>
      <c r="M55" s="1294"/>
      <c r="N55" s="1295"/>
      <c r="O55" s="1296"/>
      <c r="P55" s="1304"/>
      <c r="Q55" s="1252"/>
      <c r="R55" s="1254"/>
      <c r="S55" s="1246"/>
      <c r="T55" s="1247"/>
      <c r="U55" s="1248"/>
      <c r="V55" s="566">
        <v>9994</v>
      </c>
      <c r="W55" s="566"/>
      <c r="X55" s="566"/>
      <c r="Y55" s="566"/>
      <c r="Z55" s="566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</row>
    <row r="56" spans="1:48" s="1" customFormat="1" ht="41.25" customHeight="1">
      <c r="A56" s="1289"/>
      <c r="B56" s="1285" t="s">
        <v>219</v>
      </c>
      <c r="C56" s="1286"/>
      <c r="D56" s="512" t="s">
        <v>556</v>
      </c>
      <c r="E56" s="1157" t="s">
        <v>44</v>
      </c>
      <c r="F56" s="1158"/>
      <c r="G56" s="1307">
        <f>ROUND(W56*(1-$G$71),2)</f>
        <v>17867</v>
      </c>
      <c r="H56" s="1308"/>
      <c r="I56" s="1309"/>
      <c r="J56" s="333"/>
      <c r="K56" s="1249"/>
      <c r="L56" s="1251"/>
      <c r="M56" s="1297" t="s">
        <v>422</v>
      </c>
      <c r="N56" s="1298"/>
      <c r="O56" s="1299"/>
      <c r="P56" s="1303">
        <v>1.95</v>
      </c>
      <c r="Q56" s="1249" t="s">
        <v>44</v>
      </c>
      <c r="R56" s="1251"/>
      <c r="S56" s="1249">
        <f>ROUND(Z56*(1-$G$71),2)</f>
        <v>19635</v>
      </c>
      <c r="T56" s="1250"/>
      <c r="U56" s="1251"/>
      <c r="V56" s="566"/>
      <c r="W56" s="566">
        <v>17867</v>
      </c>
      <c r="X56" s="566"/>
      <c r="Y56" s="566"/>
      <c r="Z56" s="566">
        <v>19635</v>
      </c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</row>
    <row r="57" spans="1:48" s="1" customFormat="1" ht="40.5" customHeight="1">
      <c r="A57" s="1290"/>
      <c r="B57" s="1305"/>
      <c r="C57" s="1306"/>
      <c r="D57" s="332">
        <v>2</v>
      </c>
      <c r="E57" s="1157" t="s">
        <v>44</v>
      </c>
      <c r="F57" s="1158"/>
      <c r="G57" s="1159">
        <f>ROUND(W57*(1-$G$71),2)</f>
        <v>18532</v>
      </c>
      <c r="H57" s="1160"/>
      <c r="I57" s="1161"/>
      <c r="J57" s="333"/>
      <c r="K57" s="1252"/>
      <c r="L57" s="1254"/>
      <c r="M57" s="1300"/>
      <c r="N57" s="1301"/>
      <c r="O57" s="1302"/>
      <c r="P57" s="1304"/>
      <c r="Q57" s="1252"/>
      <c r="R57" s="1254"/>
      <c r="S57" s="1252"/>
      <c r="T57" s="1253"/>
      <c r="U57" s="1254"/>
      <c r="V57" s="566"/>
      <c r="W57" s="566">
        <v>18532</v>
      </c>
      <c r="X57" s="566"/>
      <c r="Y57" s="566"/>
      <c r="Z57" s="566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</row>
    <row r="58" spans="1:48" s="1" customFormat="1" ht="17.25" customHeight="1">
      <c r="A58" s="306"/>
      <c r="B58" s="107"/>
      <c r="C58" s="107"/>
      <c r="D58" s="307"/>
      <c r="E58" s="308"/>
      <c r="F58" s="308"/>
      <c r="G58" s="309"/>
      <c r="H58" s="309"/>
      <c r="I58" s="309"/>
      <c r="K58" s="311"/>
      <c r="L58" s="311"/>
      <c r="M58" s="311"/>
      <c r="N58" s="310"/>
      <c r="O58" s="310"/>
      <c r="P58" s="310"/>
      <c r="Q58" s="310"/>
      <c r="R58" s="310"/>
      <c r="S58" s="310"/>
      <c r="T58" s="310"/>
      <c r="U58" s="310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</row>
    <row r="59" spans="1:48" s="1" customFormat="1" ht="60" customHeight="1">
      <c r="A59" s="1144" t="s">
        <v>403</v>
      </c>
      <c r="B59" s="1144"/>
      <c r="C59" s="1144"/>
      <c r="D59" s="1145" t="s">
        <v>406</v>
      </c>
      <c r="E59" s="1145"/>
      <c r="F59" s="1145"/>
      <c r="G59" s="1145"/>
      <c r="H59" s="1145"/>
      <c r="I59" s="1145"/>
      <c r="J59" s="1145"/>
      <c r="K59" s="1145"/>
      <c r="L59" s="1145"/>
      <c r="M59" s="1145"/>
      <c r="N59" s="1145"/>
      <c r="O59" s="1145"/>
      <c r="P59" s="1145"/>
      <c r="Q59" s="1145"/>
      <c r="R59" s="1145"/>
      <c r="S59" s="1145"/>
      <c r="T59" s="1145"/>
      <c r="U59" s="1145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</row>
    <row r="60" spans="1:48" s="1" customFormat="1" ht="61.5" customHeight="1">
      <c r="A60" s="1260" t="s">
        <v>404</v>
      </c>
      <c r="B60" s="1261"/>
      <c r="C60" s="1262"/>
      <c r="D60" s="1263" t="s">
        <v>359</v>
      </c>
      <c r="E60" s="1264"/>
      <c r="F60" s="1264"/>
      <c r="G60" s="1264"/>
      <c r="H60" s="1264"/>
      <c r="I60" s="1264"/>
      <c r="J60" s="1264"/>
      <c r="K60" s="1264"/>
      <c r="L60" s="1264"/>
      <c r="M60" s="1264"/>
      <c r="N60" s="1264"/>
      <c r="O60" s="1264"/>
      <c r="P60" s="1264"/>
      <c r="Q60" s="1264"/>
      <c r="R60" s="1264"/>
      <c r="S60" s="1264"/>
      <c r="T60" s="1264"/>
      <c r="U60" s="1264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</row>
    <row r="61" spans="1:48" s="1" customFormat="1" ht="59.25" customHeight="1">
      <c r="A61" s="1144" t="s">
        <v>405</v>
      </c>
      <c r="B61" s="1144"/>
      <c r="C61" s="1144"/>
      <c r="D61" s="1145" t="s">
        <v>407</v>
      </c>
      <c r="E61" s="1145"/>
      <c r="F61" s="1145"/>
      <c r="G61" s="1145"/>
      <c r="H61" s="1145"/>
      <c r="I61" s="1145"/>
      <c r="J61" s="1145"/>
      <c r="K61" s="1145"/>
      <c r="L61" s="1145"/>
      <c r="M61" s="1145"/>
      <c r="N61" s="1145"/>
      <c r="O61" s="1145"/>
      <c r="P61" s="1145"/>
      <c r="Q61" s="1145"/>
      <c r="R61" s="1145"/>
      <c r="S61" s="1145"/>
      <c r="T61" s="1145"/>
      <c r="U61" s="1145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</row>
    <row r="62" spans="1:48" s="1" customFormat="1" ht="59.25" customHeight="1">
      <c r="A62" s="1144" t="s">
        <v>423</v>
      </c>
      <c r="B62" s="1144"/>
      <c r="C62" s="1144"/>
      <c r="D62" s="1145" t="s">
        <v>424</v>
      </c>
      <c r="E62" s="1145"/>
      <c r="F62" s="1145"/>
      <c r="G62" s="1145"/>
      <c r="H62" s="1145"/>
      <c r="I62" s="1145"/>
      <c r="J62" s="1145"/>
      <c r="K62" s="1145"/>
      <c r="L62" s="1145"/>
      <c r="M62" s="1145"/>
      <c r="N62" s="1145"/>
      <c r="O62" s="1145"/>
      <c r="P62" s="1145"/>
      <c r="Q62" s="1145"/>
      <c r="R62" s="1145"/>
      <c r="S62" s="1145"/>
      <c r="T62" s="1145"/>
      <c r="U62" s="1145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</row>
    <row r="63" spans="1:48">
      <c r="A63" s="141" t="s">
        <v>231</v>
      </c>
      <c r="B63" s="140"/>
      <c r="C63" s="140"/>
      <c r="D63" s="140"/>
      <c r="E63" s="140"/>
      <c r="F63" s="140"/>
      <c r="G63" s="140"/>
      <c r="H63" s="140"/>
      <c r="J63" s="109" t="s">
        <v>13</v>
      </c>
      <c r="K63" s="243"/>
      <c r="L63" s="243"/>
      <c r="M63" s="243"/>
      <c r="N63" s="241"/>
      <c r="O63" s="241"/>
      <c r="P63" s="241"/>
      <c r="Q63" s="241"/>
      <c r="R63" s="241"/>
      <c r="S63" s="241"/>
      <c r="T63" s="241"/>
    </row>
    <row r="64" spans="1:48">
      <c r="A64" s="141" t="s">
        <v>197</v>
      </c>
      <c r="B64" s="140"/>
      <c r="C64" s="140"/>
      <c r="D64" s="140"/>
      <c r="E64" s="140"/>
      <c r="F64" s="140"/>
      <c r="G64" s="140"/>
      <c r="H64" s="140"/>
      <c r="I64" s="140"/>
      <c r="J64" s="110" t="s">
        <v>581</v>
      </c>
      <c r="K64" s="140"/>
      <c r="L64" s="140"/>
    </row>
    <row r="65" spans="1:48">
      <c r="A65" s="141" t="s">
        <v>439</v>
      </c>
      <c r="B65" s="140"/>
      <c r="C65" s="140"/>
      <c r="D65" s="140"/>
      <c r="E65" s="140"/>
      <c r="F65" s="140"/>
      <c r="G65" s="140"/>
      <c r="H65" s="140"/>
      <c r="I65" s="140"/>
      <c r="J65" s="391" t="s">
        <v>455</v>
      </c>
      <c r="K65" s="140"/>
      <c r="L65" s="140"/>
    </row>
    <row r="66" spans="1:48">
      <c r="A66" s="141" t="s">
        <v>510</v>
      </c>
      <c r="B66" s="140"/>
      <c r="C66" s="140"/>
      <c r="D66" s="140"/>
      <c r="E66" s="140"/>
      <c r="F66" s="140"/>
      <c r="G66" s="140"/>
      <c r="H66" s="140"/>
      <c r="I66" s="140"/>
      <c r="J66" s="110"/>
      <c r="K66" s="140"/>
      <c r="L66" s="140"/>
    </row>
    <row r="67" spans="1:48">
      <c r="A67" s="67" t="s">
        <v>307</v>
      </c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</row>
    <row r="68" spans="1:48">
      <c r="A68" s="391" t="s">
        <v>453</v>
      </c>
      <c r="B68" s="392"/>
      <c r="C68" s="392"/>
      <c r="D68" s="392"/>
      <c r="E68" s="392"/>
      <c r="F68" s="392"/>
      <c r="G68" s="392"/>
      <c r="H68" s="392"/>
      <c r="I68" s="392"/>
      <c r="J68" s="392"/>
      <c r="K68" s="392"/>
      <c r="L68" s="392"/>
      <c r="M68" s="392"/>
      <c r="N68" s="392"/>
      <c r="O68" s="392"/>
    </row>
    <row r="69" spans="1:48" s="393" customFormat="1">
      <c r="A69" s="391"/>
      <c r="B69" s="392"/>
      <c r="C69" s="392"/>
      <c r="D69" s="392"/>
      <c r="E69" s="392"/>
      <c r="F69" s="392"/>
      <c r="G69" s="392"/>
      <c r="H69" s="392"/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V69" s="565"/>
      <c r="W69" s="565"/>
      <c r="X69" s="565"/>
      <c r="Y69" s="565"/>
      <c r="Z69" s="565"/>
      <c r="AA69" s="565"/>
      <c r="AB69" s="565"/>
      <c r="AC69" s="565"/>
      <c r="AD69" s="565"/>
      <c r="AE69" s="565"/>
      <c r="AF69" s="565"/>
      <c r="AG69" s="565"/>
      <c r="AH69" s="565"/>
      <c r="AI69" s="565"/>
      <c r="AJ69" s="565"/>
      <c r="AK69" s="565"/>
      <c r="AL69" s="565"/>
      <c r="AM69" s="565"/>
      <c r="AN69" s="565"/>
      <c r="AO69" s="565"/>
      <c r="AP69" s="565"/>
      <c r="AQ69" s="565"/>
      <c r="AR69" s="565"/>
      <c r="AS69" s="565"/>
      <c r="AT69" s="565"/>
      <c r="AU69" s="565"/>
      <c r="AV69" s="565"/>
    </row>
    <row r="71" spans="1:48" ht="81.75" customHeight="1">
      <c r="A71" s="1255" t="s">
        <v>62</v>
      </c>
      <c r="B71" s="1256"/>
      <c r="C71" s="1256"/>
      <c r="D71" s="1256"/>
      <c r="E71" s="1256"/>
      <c r="F71" s="1257"/>
      <c r="G71" s="1258">
        <v>0</v>
      </c>
      <c r="H71" s="1258"/>
      <c r="I71" s="1258"/>
      <c r="J71" s="1258"/>
      <c r="K71" s="1258"/>
    </row>
  </sheetData>
  <mergeCells count="192">
    <mergeCell ref="A54:A55"/>
    <mergeCell ref="A56:A57"/>
    <mergeCell ref="M54:O55"/>
    <mergeCell ref="K54:L55"/>
    <mergeCell ref="K56:L57"/>
    <mergeCell ref="M56:O57"/>
    <mergeCell ref="P54:P55"/>
    <mergeCell ref="Q54:R55"/>
    <mergeCell ref="Q56:R57"/>
    <mergeCell ref="P56:P57"/>
    <mergeCell ref="B56:C57"/>
    <mergeCell ref="G56:I56"/>
    <mergeCell ref="E56:F56"/>
    <mergeCell ref="E55:F55"/>
    <mergeCell ref="G55:I55"/>
    <mergeCell ref="E57:F57"/>
    <mergeCell ref="G57:I57"/>
    <mergeCell ref="B54:C55"/>
    <mergeCell ref="A44:A46"/>
    <mergeCell ref="B44:B46"/>
    <mergeCell ref="C44:C46"/>
    <mergeCell ref="D44:D46"/>
    <mergeCell ref="E44:I44"/>
    <mergeCell ref="K44:L46"/>
    <mergeCell ref="M44:N46"/>
    <mergeCell ref="O44:O46"/>
    <mergeCell ref="E49:F49"/>
    <mergeCell ref="G49:I49"/>
    <mergeCell ref="A47:A50"/>
    <mergeCell ref="B47:B50"/>
    <mergeCell ref="C47:C50"/>
    <mergeCell ref="G48:I48"/>
    <mergeCell ref="E47:F47"/>
    <mergeCell ref="G47:I47"/>
    <mergeCell ref="M47:N50"/>
    <mergeCell ref="Q44:U44"/>
    <mergeCell ref="E45:I45"/>
    <mergeCell ref="E46:F46"/>
    <mergeCell ref="G46:I46"/>
    <mergeCell ref="E50:F50"/>
    <mergeCell ref="G50:I50"/>
    <mergeCell ref="S45:U45"/>
    <mergeCell ref="S46:U46"/>
    <mergeCell ref="S47:U47"/>
    <mergeCell ref="S48:U48"/>
    <mergeCell ref="Q45:R45"/>
    <mergeCell ref="Q46:R46"/>
    <mergeCell ref="Q47:R47"/>
    <mergeCell ref="Q48:R48"/>
    <mergeCell ref="Q49:R49"/>
    <mergeCell ref="Q50:R50"/>
    <mergeCell ref="S54:U55"/>
    <mergeCell ref="S56:U57"/>
    <mergeCell ref="M38:U38"/>
    <mergeCell ref="M39:U39"/>
    <mergeCell ref="A71:F71"/>
    <mergeCell ref="G71:K71"/>
    <mergeCell ref="A52:A53"/>
    <mergeCell ref="A59:C59"/>
    <mergeCell ref="O47:O50"/>
    <mergeCell ref="E48:F48"/>
    <mergeCell ref="D61:U61"/>
    <mergeCell ref="D59:U59"/>
    <mergeCell ref="A60:C60"/>
    <mergeCell ref="D60:U60"/>
    <mergeCell ref="A61:C61"/>
    <mergeCell ref="S49:U49"/>
    <mergeCell ref="S50:U50"/>
    <mergeCell ref="D52:D53"/>
    <mergeCell ref="E52:I52"/>
    <mergeCell ref="P52:P53"/>
    <mergeCell ref="Q52:U52"/>
    <mergeCell ref="Q53:R53"/>
    <mergeCell ref="S53:U53"/>
    <mergeCell ref="P44:P46"/>
    <mergeCell ref="G34:J35"/>
    <mergeCell ref="K34:L34"/>
    <mergeCell ref="D35:F35"/>
    <mergeCell ref="K35:L35"/>
    <mergeCell ref="M34:U34"/>
    <mergeCell ref="M35:U35"/>
    <mergeCell ref="A41:B42"/>
    <mergeCell ref="C41:U42"/>
    <mergeCell ref="A36:A37"/>
    <mergeCell ref="B36:C37"/>
    <mergeCell ref="D36:F36"/>
    <mergeCell ref="G36:J37"/>
    <mergeCell ref="K36:L36"/>
    <mergeCell ref="D37:F37"/>
    <mergeCell ref="K37:L37"/>
    <mergeCell ref="M36:U36"/>
    <mergeCell ref="M37:U37"/>
    <mergeCell ref="A38:A39"/>
    <mergeCell ref="B38:C39"/>
    <mergeCell ref="D38:F38"/>
    <mergeCell ref="G38:J39"/>
    <mergeCell ref="K38:L38"/>
    <mergeCell ref="D39:F39"/>
    <mergeCell ref="K39:L39"/>
    <mergeCell ref="A32:A33"/>
    <mergeCell ref="B32:C33"/>
    <mergeCell ref="D32:F32"/>
    <mergeCell ref="D33:F33"/>
    <mergeCell ref="A30:A31"/>
    <mergeCell ref="B30:C31"/>
    <mergeCell ref="D30:F31"/>
    <mergeCell ref="A34:A35"/>
    <mergeCell ref="B34:C35"/>
    <mergeCell ref="D34:F34"/>
    <mergeCell ref="G32:J33"/>
    <mergeCell ref="G30:J31"/>
    <mergeCell ref="K30:L31"/>
    <mergeCell ref="M30:U31"/>
    <mergeCell ref="K32:L32"/>
    <mergeCell ref="K33:L33"/>
    <mergeCell ref="M32:U32"/>
    <mergeCell ref="M33:U33"/>
    <mergeCell ref="S21:U25"/>
    <mergeCell ref="N21:R25"/>
    <mergeCell ref="L21:M25"/>
    <mergeCell ref="N27:U27"/>
    <mergeCell ref="N28:U28"/>
    <mergeCell ref="I27:M27"/>
    <mergeCell ref="D27:H27"/>
    <mergeCell ref="D28:H28"/>
    <mergeCell ref="A17:C17"/>
    <mergeCell ref="D17:O17"/>
    <mergeCell ref="P17:U17"/>
    <mergeCell ref="A16:C16"/>
    <mergeCell ref="D16:O16"/>
    <mergeCell ref="P16:U16"/>
    <mergeCell ref="I19:K20"/>
    <mergeCell ref="I21:K25"/>
    <mergeCell ref="A19:A20"/>
    <mergeCell ref="B19:B20"/>
    <mergeCell ref="C19:C20"/>
    <mergeCell ref="A21:A25"/>
    <mergeCell ref="B21:B25"/>
    <mergeCell ref="C21:C25"/>
    <mergeCell ref="E19:G19"/>
    <mergeCell ref="F20:G20"/>
    <mergeCell ref="F21:G21"/>
    <mergeCell ref="F22:G22"/>
    <mergeCell ref="F23:G23"/>
    <mergeCell ref="F24:G24"/>
    <mergeCell ref="F25:G25"/>
    <mergeCell ref="S19:U20"/>
    <mergeCell ref="L19:R20"/>
    <mergeCell ref="D19:D20"/>
    <mergeCell ref="T13:U13"/>
    <mergeCell ref="T14:U14"/>
    <mergeCell ref="S8:U8"/>
    <mergeCell ref="C11:C14"/>
    <mergeCell ref="G10:H10"/>
    <mergeCell ref="G11:H11"/>
    <mergeCell ref="G12:H12"/>
    <mergeCell ref="G13:H13"/>
    <mergeCell ref="G14:H14"/>
    <mergeCell ref="R11:S11"/>
    <mergeCell ref="R12:S12"/>
    <mergeCell ref="R13:S13"/>
    <mergeCell ref="R14:S14"/>
    <mergeCell ref="D9:E10"/>
    <mergeCell ref="D11:E11"/>
    <mergeCell ref="D12:E12"/>
    <mergeCell ref="R10:S10"/>
    <mergeCell ref="D13:E13"/>
    <mergeCell ref="D14:E14"/>
    <mergeCell ref="V9:AJ9"/>
    <mergeCell ref="B27:C27"/>
    <mergeCell ref="B28:C28"/>
    <mergeCell ref="I28:M28"/>
    <mergeCell ref="A1:U6"/>
    <mergeCell ref="A62:C62"/>
    <mergeCell ref="D62:U62"/>
    <mergeCell ref="K52:L53"/>
    <mergeCell ref="M52:O53"/>
    <mergeCell ref="E53:F53"/>
    <mergeCell ref="G53:I53"/>
    <mergeCell ref="E54:F54"/>
    <mergeCell ref="G54:I54"/>
    <mergeCell ref="B52:C53"/>
    <mergeCell ref="A9:A10"/>
    <mergeCell ref="B9:B10"/>
    <mergeCell ref="C9:C10"/>
    <mergeCell ref="A11:A14"/>
    <mergeCell ref="B11:B14"/>
    <mergeCell ref="A7:U7"/>
    <mergeCell ref="F9:U9"/>
    <mergeCell ref="T10:U10"/>
    <mergeCell ref="T11:U11"/>
    <mergeCell ref="T12:U12"/>
  </mergeCells>
  <printOptions horizontalCentered="1"/>
  <pageMargins left="0" right="0.15748031496062992" top="0" bottom="0" header="3.937007874015748E-2" footer="0.11811023622047245"/>
  <pageSetup paperSize="9" scale="23" orientation="landscape" r:id="rId1"/>
  <headerFooter alignWithMargins="0">
    <oddFooter>&amp;R&amp;18Стр. &amp;P из  &amp;N
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R104"/>
  <sheetViews>
    <sheetView showGridLines="0" zoomScale="60" zoomScaleNormal="60" zoomScaleSheetLayoutView="25" workbookViewId="0">
      <selection activeCell="T10" sqref="T10"/>
    </sheetView>
  </sheetViews>
  <sheetFormatPr defaultColWidth="9.109375" defaultRowHeight="13.8"/>
  <cols>
    <col min="1" max="1" width="48.6640625" style="57" customWidth="1"/>
    <col min="2" max="2" width="49.109375" style="57" customWidth="1"/>
    <col min="3" max="3" width="42.33203125" style="59" customWidth="1"/>
    <col min="4" max="4" width="22.5546875" style="59" customWidth="1"/>
    <col min="5" max="5" width="22.109375" style="57" customWidth="1"/>
    <col min="6" max="6" width="20.88671875" style="57" customWidth="1"/>
    <col min="7" max="7" width="16.109375" style="57" bestFit="1" customWidth="1"/>
    <col min="8" max="9" width="8.5546875" style="57" customWidth="1"/>
    <col min="10" max="10" width="10.5546875" style="57" customWidth="1"/>
    <col min="11" max="12" width="8.5546875" style="57" customWidth="1"/>
    <col min="13" max="13" width="39.88671875" style="57" customWidth="1"/>
    <col min="14" max="109" width="5.5546875" style="57" customWidth="1"/>
    <col min="110" max="16384" width="9.109375" style="57"/>
  </cols>
  <sheetData>
    <row r="1" spans="1:13" ht="134.25" customHeight="1" thickBot="1">
      <c r="A1" s="1310"/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</row>
    <row r="2" spans="1:13" ht="30.75" customHeight="1">
      <c r="A2" s="1311" t="s">
        <v>222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</row>
    <row r="3" spans="1:13" ht="24.6">
      <c r="A3" s="62"/>
      <c r="B3" s="62"/>
      <c r="C3" s="62"/>
      <c r="D3" s="62"/>
      <c r="E3" s="62"/>
      <c r="F3" s="62"/>
      <c r="G3" s="62"/>
      <c r="H3" s="361" t="s">
        <v>163</v>
      </c>
      <c r="J3" s="361"/>
      <c r="K3" s="361"/>
      <c r="L3" s="361"/>
      <c r="M3" s="362">
        <v>42361</v>
      </c>
    </row>
    <row r="4" spans="1:13" ht="24.6">
      <c r="A4" s="1312" t="s">
        <v>164</v>
      </c>
      <c r="B4" s="1312" t="s">
        <v>184</v>
      </c>
      <c r="C4" s="1312" t="s">
        <v>137</v>
      </c>
      <c r="D4" s="1314" t="s">
        <v>275</v>
      </c>
      <c r="E4" s="1315"/>
      <c r="F4" s="1315"/>
      <c r="G4" s="1312" t="s">
        <v>257</v>
      </c>
      <c r="H4" s="1312"/>
      <c r="I4" s="1312"/>
      <c r="J4" s="1312"/>
      <c r="K4" s="1312"/>
      <c r="L4" s="1312"/>
      <c r="M4" s="1316" t="s">
        <v>43</v>
      </c>
    </row>
    <row r="5" spans="1:13" ht="24.6">
      <c r="A5" s="1313"/>
      <c r="B5" s="1313"/>
      <c r="C5" s="1313"/>
      <c r="D5" s="1318" t="s">
        <v>258</v>
      </c>
      <c r="E5" s="1319"/>
      <c r="F5" s="319" t="s">
        <v>259</v>
      </c>
      <c r="G5" s="1313"/>
      <c r="H5" s="1313"/>
      <c r="I5" s="1313"/>
      <c r="J5" s="1313"/>
      <c r="K5" s="1313"/>
      <c r="L5" s="1313"/>
      <c r="M5" s="1317"/>
    </row>
    <row r="6" spans="1:13" ht="49.5" customHeight="1">
      <c r="A6" s="1322" t="s">
        <v>364</v>
      </c>
      <c r="B6" s="1324"/>
      <c r="C6" s="1325" t="s">
        <v>365</v>
      </c>
      <c r="D6" s="1326" t="s">
        <v>260</v>
      </c>
      <c r="E6" s="1326"/>
      <c r="F6" s="1326" t="s">
        <v>261</v>
      </c>
      <c r="G6" s="1320" t="s">
        <v>287</v>
      </c>
      <c r="H6" s="1320"/>
      <c r="I6" s="1320"/>
      <c r="J6" s="1320" t="s">
        <v>366</v>
      </c>
      <c r="K6" s="1320"/>
      <c r="L6" s="1320"/>
      <c r="M6" s="1321">
        <f>ROUND(6160*(1-$G$71),2)</f>
        <v>6160</v>
      </c>
    </row>
    <row r="7" spans="1:13" ht="26.25" customHeight="1">
      <c r="A7" s="1322"/>
      <c r="B7" s="1324"/>
      <c r="C7" s="1325"/>
      <c r="D7" s="1326"/>
      <c r="E7" s="1326"/>
      <c r="F7" s="1326"/>
      <c r="G7" s="1320" t="s">
        <v>262</v>
      </c>
      <c r="H7" s="1320"/>
      <c r="I7" s="1320"/>
      <c r="J7" s="1320" t="s">
        <v>263</v>
      </c>
      <c r="K7" s="1320"/>
      <c r="L7" s="1320"/>
      <c r="M7" s="1321"/>
    </row>
    <row r="8" spans="1:13" ht="23.25" customHeight="1">
      <c r="A8" s="1322"/>
      <c r="B8" s="1324"/>
      <c r="C8" s="1325"/>
      <c r="D8" s="1326"/>
      <c r="E8" s="1326"/>
      <c r="F8" s="1326"/>
      <c r="G8" s="1320" t="s">
        <v>264</v>
      </c>
      <c r="H8" s="1320"/>
      <c r="I8" s="1320"/>
      <c r="J8" s="1320" t="s">
        <v>265</v>
      </c>
      <c r="K8" s="1320"/>
      <c r="L8" s="1320"/>
      <c r="M8" s="1321"/>
    </row>
    <row r="9" spans="1:13" ht="17.25" customHeight="1">
      <c r="A9" s="1322"/>
      <c r="B9" s="1324"/>
      <c r="C9" s="1325"/>
      <c r="D9" s="1326"/>
      <c r="E9" s="1326"/>
      <c r="F9" s="1326"/>
      <c r="G9" s="1320" t="s">
        <v>266</v>
      </c>
      <c r="H9" s="1320"/>
      <c r="I9" s="1320"/>
      <c r="J9" s="1320" t="s">
        <v>267</v>
      </c>
      <c r="K9" s="1320"/>
      <c r="L9" s="1320"/>
      <c r="M9" s="1321"/>
    </row>
    <row r="10" spans="1:13" ht="14.25" customHeight="1">
      <c r="A10" s="1322"/>
      <c r="B10" s="1324"/>
      <c r="C10" s="1325"/>
      <c r="D10" s="1326"/>
      <c r="E10" s="1326"/>
      <c r="F10" s="1326"/>
      <c r="G10" s="1320"/>
      <c r="H10" s="1320"/>
      <c r="I10" s="1320"/>
      <c r="J10" s="1320"/>
      <c r="K10" s="1320"/>
      <c r="L10" s="1320"/>
      <c r="M10" s="1321"/>
    </row>
    <row r="11" spans="1:13" ht="45.75" customHeight="1">
      <c r="A11" s="1322"/>
      <c r="B11" s="1327"/>
      <c r="C11" s="1325" t="s">
        <v>367</v>
      </c>
      <c r="D11" s="1326" t="s">
        <v>368</v>
      </c>
      <c r="E11" s="1326"/>
      <c r="F11" s="1326" t="s">
        <v>260</v>
      </c>
      <c r="G11" s="1333" t="s">
        <v>369</v>
      </c>
      <c r="H11" s="1334"/>
      <c r="I11" s="1335"/>
      <c r="J11" s="1333" t="s">
        <v>370</v>
      </c>
      <c r="K11" s="1334"/>
      <c r="L11" s="1335"/>
      <c r="M11" s="1348">
        <f>ROUND(1040*(1-$G$71),2)</f>
        <v>1040</v>
      </c>
    </row>
    <row r="12" spans="1:13" ht="29.25" customHeight="1" thickBot="1">
      <c r="A12" s="1323"/>
      <c r="B12" s="1328"/>
      <c r="C12" s="1329"/>
      <c r="D12" s="1330"/>
      <c r="E12" s="1330"/>
      <c r="F12" s="1330"/>
      <c r="G12" s="1345"/>
      <c r="H12" s="1346"/>
      <c r="I12" s="1347"/>
      <c r="J12" s="1345"/>
      <c r="K12" s="1346"/>
      <c r="L12" s="1347"/>
      <c r="M12" s="1349"/>
    </row>
    <row r="13" spans="1:13" ht="29.25" customHeight="1">
      <c r="A13" s="1352" t="s">
        <v>371</v>
      </c>
      <c r="B13" s="1361"/>
      <c r="C13" s="1356" t="s">
        <v>372</v>
      </c>
      <c r="D13" s="1354" t="s">
        <v>260</v>
      </c>
      <c r="E13" s="1354"/>
      <c r="F13" s="1354" t="s">
        <v>261</v>
      </c>
      <c r="G13" s="1332" t="s">
        <v>287</v>
      </c>
      <c r="H13" s="1332"/>
      <c r="I13" s="1332"/>
      <c r="J13" s="1350">
        <v>6005</v>
      </c>
      <c r="K13" s="1350"/>
      <c r="L13" s="1350"/>
      <c r="M13" s="1331">
        <f>ROUND(15760*(1-$G$71),2)</f>
        <v>15760</v>
      </c>
    </row>
    <row r="14" spans="1:13" ht="24.9" customHeight="1">
      <c r="A14" s="1322"/>
      <c r="B14" s="1324"/>
      <c r="C14" s="1357"/>
      <c r="D14" s="1326"/>
      <c r="E14" s="1326"/>
      <c r="F14" s="1326"/>
      <c r="G14" s="1332" t="s">
        <v>262</v>
      </c>
      <c r="H14" s="1332"/>
      <c r="I14" s="1332"/>
      <c r="J14" s="1332" t="s">
        <v>92</v>
      </c>
      <c r="K14" s="1332"/>
      <c r="L14" s="1332"/>
      <c r="M14" s="1321"/>
    </row>
    <row r="15" spans="1:13" ht="26.25" customHeight="1">
      <c r="A15" s="1322"/>
      <c r="B15" s="1324"/>
      <c r="C15" s="1357"/>
      <c r="D15" s="1326"/>
      <c r="E15" s="1326"/>
      <c r="F15" s="1326"/>
      <c r="G15" s="1333" t="s">
        <v>264</v>
      </c>
      <c r="H15" s="1334"/>
      <c r="I15" s="1335"/>
      <c r="J15" s="1333" t="s">
        <v>265</v>
      </c>
      <c r="K15" s="1334"/>
      <c r="L15" s="1335"/>
      <c r="M15" s="1321"/>
    </row>
    <row r="16" spans="1:13" ht="9.75" customHeight="1">
      <c r="A16" s="1322"/>
      <c r="B16" s="1324"/>
      <c r="C16" s="1357"/>
      <c r="D16" s="1326"/>
      <c r="E16" s="1326"/>
      <c r="F16" s="1326"/>
      <c r="G16" s="1336"/>
      <c r="H16" s="1337"/>
      <c r="I16" s="1338"/>
      <c r="J16" s="1336"/>
      <c r="K16" s="1337"/>
      <c r="L16" s="1338"/>
      <c r="M16" s="1321"/>
    </row>
    <row r="17" spans="1:13" ht="27.75" customHeight="1">
      <c r="A17" s="1322"/>
      <c r="B17" s="1324"/>
      <c r="C17" s="1357"/>
      <c r="D17" s="1326"/>
      <c r="E17" s="1326"/>
      <c r="F17" s="1326"/>
      <c r="G17" s="1339" t="s">
        <v>266</v>
      </c>
      <c r="H17" s="1340"/>
      <c r="I17" s="1341"/>
      <c r="J17" s="1342" t="s">
        <v>267</v>
      </c>
      <c r="K17" s="1343"/>
      <c r="L17" s="1344"/>
      <c r="M17" s="1321"/>
    </row>
    <row r="18" spans="1:13" ht="44.25" customHeight="1">
      <c r="A18" s="1322"/>
      <c r="B18" s="1327"/>
      <c r="C18" s="1325" t="s">
        <v>367</v>
      </c>
      <c r="D18" s="1326" t="s">
        <v>368</v>
      </c>
      <c r="E18" s="1326"/>
      <c r="F18" s="1326" t="s">
        <v>260</v>
      </c>
      <c r="G18" s="1333" t="s">
        <v>369</v>
      </c>
      <c r="H18" s="1334"/>
      <c r="I18" s="1335"/>
      <c r="J18" s="1333" t="s">
        <v>370</v>
      </c>
      <c r="K18" s="1334"/>
      <c r="L18" s="1335"/>
      <c r="M18" s="1348">
        <f>ROUND(1040*(1-$G$71),2)</f>
        <v>1040</v>
      </c>
    </row>
    <row r="19" spans="1:13" ht="8.25" customHeight="1" thickBot="1">
      <c r="A19" s="1323"/>
      <c r="B19" s="1328"/>
      <c r="C19" s="1329"/>
      <c r="D19" s="1330"/>
      <c r="E19" s="1330"/>
      <c r="F19" s="1330"/>
      <c r="G19" s="1345"/>
      <c r="H19" s="1346"/>
      <c r="I19" s="1347"/>
      <c r="J19" s="1345"/>
      <c r="K19" s="1346"/>
      <c r="L19" s="1347"/>
      <c r="M19" s="1349"/>
    </row>
    <row r="20" spans="1:13" ht="27.75" customHeight="1">
      <c r="A20" s="1351" t="s">
        <v>373</v>
      </c>
      <c r="B20" s="1353"/>
      <c r="C20" s="1355" t="s">
        <v>374</v>
      </c>
      <c r="D20" s="1353" t="s">
        <v>260</v>
      </c>
      <c r="E20" s="1353"/>
      <c r="F20" s="1353"/>
      <c r="G20" s="1358" t="s">
        <v>287</v>
      </c>
      <c r="H20" s="1358"/>
      <c r="I20" s="1358"/>
      <c r="J20" s="1359">
        <v>6005.9004999999997</v>
      </c>
      <c r="K20" s="1359"/>
      <c r="L20" s="1359"/>
      <c r="M20" s="1360">
        <f>ROUND(3840*(1-$G$71),2)</f>
        <v>3840</v>
      </c>
    </row>
    <row r="21" spans="1:13" ht="27.75" customHeight="1">
      <c r="A21" s="1352"/>
      <c r="B21" s="1354"/>
      <c r="C21" s="1356"/>
      <c r="D21" s="1354"/>
      <c r="E21" s="1354"/>
      <c r="F21" s="1354"/>
      <c r="G21" s="1332" t="s">
        <v>262</v>
      </c>
      <c r="H21" s="1332"/>
      <c r="I21" s="1332"/>
      <c r="J21" s="1332" t="s">
        <v>93</v>
      </c>
      <c r="K21" s="1332"/>
      <c r="L21" s="1332"/>
      <c r="M21" s="1331"/>
    </row>
    <row r="22" spans="1:13" ht="27.75" customHeight="1">
      <c r="A22" s="1322"/>
      <c r="B22" s="1326"/>
      <c r="C22" s="1357"/>
      <c r="D22" s="1326"/>
      <c r="E22" s="1326"/>
      <c r="F22" s="1326"/>
      <c r="G22" s="1320" t="s">
        <v>264</v>
      </c>
      <c r="H22" s="1320"/>
      <c r="I22" s="1320"/>
      <c r="J22" s="1320" t="s">
        <v>94</v>
      </c>
      <c r="K22" s="1320"/>
      <c r="L22" s="1320"/>
      <c r="M22" s="1321"/>
    </row>
    <row r="23" spans="1:13" ht="27.75" customHeight="1">
      <c r="A23" s="1322"/>
      <c r="B23" s="1326"/>
      <c r="C23" s="1357"/>
      <c r="D23" s="1326"/>
      <c r="E23" s="1326"/>
      <c r="F23" s="1326"/>
      <c r="G23" s="1320" t="s">
        <v>266</v>
      </c>
      <c r="H23" s="1320"/>
      <c r="I23" s="1320"/>
      <c r="J23" s="1320" t="s">
        <v>267</v>
      </c>
      <c r="K23" s="1320"/>
      <c r="L23" s="1320"/>
      <c r="M23" s="1321"/>
    </row>
    <row r="24" spans="1:13" ht="30.75" customHeight="1">
      <c r="A24" s="1322"/>
      <c r="B24" s="1326"/>
      <c r="C24" s="1325" t="s">
        <v>367</v>
      </c>
      <c r="D24" s="1326" t="s">
        <v>368</v>
      </c>
      <c r="E24" s="1326"/>
      <c r="F24" s="1326" t="s">
        <v>260</v>
      </c>
      <c r="G24" s="1333" t="s">
        <v>369</v>
      </c>
      <c r="H24" s="1334"/>
      <c r="I24" s="1335"/>
      <c r="J24" s="1333" t="s">
        <v>370</v>
      </c>
      <c r="K24" s="1334"/>
      <c r="L24" s="1335"/>
      <c r="M24" s="1348">
        <f>ROUND(1040*(1-$G$71),2)</f>
        <v>1040</v>
      </c>
    </row>
    <row r="25" spans="1:13" ht="17.25" customHeight="1" thickBot="1">
      <c r="A25" s="1323"/>
      <c r="B25" s="1330"/>
      <c r="C25" s="1329"/>
      <c r="D25" s="1330"/>
      <c r="E25" s="1330"/>
      <c r="F25" s="1330"/>
      <c r="G25" s="1345"/>
      <c r="H25" s="1346"/>
      <c r="I25" s="1347"/>
      <c r="J25" s="1345"/>
      <c r="K25" s="1346"/>
      <c r="L25" s="1347"/>
      <c r="M25" s="1349"/>
    </row>
    <row r="26" spans="1:13" ht="50.25" hidden="1" customHeight="1">
      <c r="A26" s="1368" t="s">
        <v>375</v>
      </c>
      <c r="B26" s="1370"/>
      <c r="C26" s="1373" t="s">
        <v>95</v>
      </c>
      <c r="D26" s="1376" t="s">
        <v>260</v>
      </c>
      <c r="E26" s="1376"/>
      <c r="F26" s="1377"/>
      <c r="G26" s="1336"/>
      <c r="H26" s="1337"/>
      <c r="I26" s="1338"/>
      <c r="J26" s="1336"/>
      <c r="K26" s="1337"/>
      <c r="L26" s="1338"/>
      <c r="M26" s="376">
        <v>4530</v>
      </c>
    </row>
    <row r="27" spans="1:13" ht="57.75" customHeight="1">
      <c r="A27" s="1368"/>
      <c r="B27" s="1371"/>
      <c r="C27" s="1374"/>
      <c r="D27" s="1378"/>
      <c r="E27" s="1378"/>
      <c r="F27" s="1379"/>
      <c r="G27" s="1320" t="s">
        <v>287</v>
      </c>
      <c r="H27" s="1320"/>
      <c r="I27" s="1320"/>
      <c r="J27" s="1320" t="s">
        <v>96</v>
      </c>
      <c r="K27" s="1320"/>
      <c r="L27" s="1320"/>
      <c r="M27" s="1382">
        <f>ROUND(4960*(1-$G$71),2)</f>
        <v>4960</v>
      </c>
    </row>
    <row r="28" spans="1:13" ht="24.9" customHeight="1">
      <c r="A28" s="1368"/>
      <c r="B28" s="1372"/>
      <c r="C28" s="1375"/>
      <c r="D28" s="1380"/>
      <c r="E28" s="1380"/>
      <c r="F28" s="1381"/>
      <c r="G28" s="1320"/>
      <c r="H28" s="1320"/>
      <c r="I28" s="1320"/>
      <c r="J28" s="1320"/>
      <c r="K28" s="1320"/>
      <c r="L28" s="1320"/>
      <c r="M28" s="1382"/>
    </row>
    <row r="29" spans="1:13" ht="24.9" customHeight="1">
      <c r="A29" s="1368"/>
      <c r="B29" s="1322" t="s">
        <v>97</v>
      </c>
      <c r="C29" s="1322"/>
      <c r="D29" s="1322"/>
      <c r="E29" s="1322"/>
      <c r="F29" s="1322"/>
      <c r="G29" s="1362" t="s">
        <v>98</v>
      </c>
      <c r="H29" s="1363"/>
      <c r="I29" s="1363"/>
      <c r="J29" s="1363"/>
      <c r="K29" s="1363"/>
      <c r="L29" s="1364"/>
      <c r="M29" s="1382"/>
    </row>
    <row r="30" spans="1:13" ht="24.9" customHeight="1">
      <c r="A30" s="1368"/>
      <c r="B30" s="1322" t="s">
        <v>99</v>
      </c>
      <c r="C30" s="1322"/>
      <c r="D30" s="1322"/>
      <c r="E30" s="1322"/>
      <c r="F30" s="1322"/>
      <c r="G30" s="1362" t="s">
        <v>100</v>
      </c>
      <c r="H30" s="1363"/>
      <c r="I30" s="1363"/>
      <c r="J30" s="1363"/>
      <c r="K30" s="1363"/>
      <c r="L30" s="1364"/>
      <c r="M30" s="1382"/>
    </row>
    <row r="31" spans="1:13" ht="30.75" customHeight="1">
      <c r="A31" s="1368"/>
      <c r="B31" s="1322" t="s">
        <v>101</v>
      </c>
      <c r="C31" s="1322"/>
      <c r="D31" s="1322"/>
      <c r="E31" s="1322"/>
      <c r="F31" s="1322"/>
      <c r="G31" s="1365" t="s">
        <v>102</v>
      </c>
      <c r="H31" s="1366"/>
      <c r="I31" s="1366"/>
      <c r="J31" s="1366"/>
      <c r="K31" s="1366"/>
      <c r="L31" s="1367"/>
      <c r="M31" s="1331"/>
    </row>
    <row r="32" spans="1:13" ht="27.75" customHeight="1" thickBot="1">
      <c r="A32" s="1369"/>
      <c r="B32" s="1323" t="s">
        <v>296</v>
      </c>
      <c r="C32" s="1323"/>
      <c r="D32" s="1323"/>
      <c r="E32" s="1323"/>
      <c r="F32" s="1323"/>
      <c r="G32" s="1387" t="s">
        <v>376</v>
      </c>
      <c r="H32" s="1388"/>
      <c r="I32" s="1388"/>
      <c r="J32" s="1388"/>
      <c r="K32" s="1388"/>
      <c r="L32" s="1389"/>
      <c r="M32" s="377">
        <f>ROUND(1360*(1-$G$71),2)</f>
        <v>1360</v>
      </c>
    </row>
    <row r="33" spans="1:13" ht="26.25" customHeight="1">
      <c r="A33" s="1395" t="s">
        <v>377</v>
      </c>
      <c r="B33" s="1361"/>
      <c r="C33" s="1375" t="s">
        <v>378</v>
      </c>
      <c r="D33" s="1390" t="s">
        <v>260</v>
      </c>
      <c r="E33" s="1379"/>
      <c r="F33" s="1354" t="s">
        <v>260</v>
      </c>
      <c r="G33" s="1392" t="s">
        <v>287</v>
      </c>
      <c r="H33" s="1393"/>
      <c r="I33" s="1394"/>
      <c r="J33" s="1393" t="s">
        <v>366</v>
      </c>
      <c r="K33" s="1393"/>
      <c r="L33" s="1394"/>
      <c r="M33" s="1360">
        <f>ROUND(7440*(1-$G$71),2)</f>
        <v>7440</v>
      </c>
    </row>
    <row r="34" spans="1:13" ht="21.75" customHeight="1">
      <c r="A34" s="1368"/>
      <c r="B34" s="1324"/>
      <c r="C34" s="1325"/>
      <c r="D34" s="1390"/>
      <c r="E34" s="1379"/>
      <c r="F34" s="1326"/>
      <c r="G34" s="1384"/>
      <c r="H34" s="1385"/>
      <c r="I34" s="1386"/>
      <c r="J34" s="1385"/>
      <c r="K34" s="1385"/>
      <c r="L34" s="1386"/>
      <c r="M34" s="1321"/>
    </row>
    <row r="35" spans="1:13" ht="24.75" customHeight="1">
      <c r="A35" s="1368"/>
      <c r="B35" s="1324"/>
      <c r="C35" s="1325"/>
      <c r="D35" s="1390"/>
      <c r="E35" s="1379"/>
      <c r="F35" s="1362"/>
      <c r="G35" s="1320" t="s">
        <v>262</v>
      </c>
      <c r="H35" s="1320"/>
      <c r="I35" s="1320"/>
      <c r="J35" s="1320" t="s">
        <v>104</v>
      </c>
      <c r="K35" s="1320"/>
      <c r="L35" s="1320"/>
      <c r="M35" s="1383"/>
    </row>
    <row r="36" spans="1:13" ht="27.75" customHeight="1">
      <c r="A36" s="1368"/>
      <c r="B36" s="1324"/>
      <c r="C36" s="1325"/>
      <c r="D36" s="1390"/>
      <c r="E36" s="1379"/>
      <c r="F36" s="1362"/>
      <c r="G36" s="1320" t="s">
        <v>264</v>
      </c>
      <c r="H36" s="1320"/>
      <c r="I36" s="1320"/>
      <c r="J36" s="1320" t="s">
        <v>265</v>
      </c>
      <c r="K36" s="1320"/>
      <c r="L36" s="1320"/>
      <c r="M36" s="1383"/>
    </row>
    <row r="37" spans="1:13" ht="18.75" customHeight="1">
      <c r="A37" s="1368"/>
      <c r="B37" s="1324"/>
      <c r="C37" s="1325"/>
      <c r="D37" s="1390"/>
      <c r="E37" s="1379"/>
      <c r="F37" s="1326"/>
      <c r="G37" s="1384" t="s">
        <v>266</v>
      </c>
      <c r="H37" s="1385"/>
      <c r="I37" s="1386"/>
      <c r="J37" s="1384" t="s">
        <v>267</v>
      </c>
      <c r="K37" s="1385"/>
      <c r="L37" s="1386"/>
      <c r="M37" s="1321"/>
    </row>
    <row r="38" spans="1:13" s="58" customFormat="1" ht="15.75" customHeight="1">
      <c r="A38" s="1368"/>
      <c r="B38" s="1324"/>
      <c r="C38" s="1325"/>
      <c r="D38" s="1391"/>
      <c r="E38" s="1381"/>
      <c r="F38" s="1326"/>
      <c r="G38" s="1336"/>
      <c r="H38" s="1337"/>
      <c r="I38" s="1338"/>
      <c r="J38" s="1336"/>
      <c r="K38" s="1337"/>
      <c r="L38" s="1338"/>
      <c r="M38" s="1321"/>
    </row>
    <row r="39" spans="1:13" s="58" customFormat="1" ht="57.75" customHeight="1">
      <c r="A39" s="1368"/>
      <c r="B39" s="364"/>
      <c r="C39" s="365" t="s">
        <v>297</v>
      </c>
      <c r="D39" s="1362" t="s">
        <v>261</v>
      </c>
      <c r="E39" s="1364"/>
      <c r="F39" s="371" t="s">
        <v>379</v>
      </c>
      <c r="G39" s="1320" t="s">
        <v>380</v>
      </c>
      <c r="H39" s="1320"/>
      <c r="I39" s="1320"/>
      <c r="J39" s="1320"/>
      <c r="K39" s="1320"/>
      <c r="L39" s="1320"/>
      <c r="M39" s="378">
        <f>ROUND(2800*(1-$G$71),2)</f>
        <v>2800</v>
      </c>
    </row>
    <row r="40" spans="1:13" s="58" customFormat="1" ht="56.25" customHeight="1" thickBot="1">
      <c r="A40" s="1369"/>
      <c r="B40" s="320"/>
      <c r="C40" s="367" t="s">
        <v>298</v>
      </c>
      <c r="D40" s="1401" t="s">
        <v>261</v>
      </c>
      <c r="E40" s="1402"/>
      <c r="F40" s="321" t="s">
        <v>379</v>
      </c>
      <c r="G40" s="1403" t="s">
        <v>381</v>
      </c>
      <c r="H40" s="1403"/>
      <c r="I40" s="1403"/>
      <c r="J40" s="1403"/>
      <c r="K40" s="1403"/>
      <c r="L40" s="1403"/>
      <c r="M40" s="379">
        <f>ROUND(990*(1-$G$71),2)</f>
        <v>990</v>
      </c>
    </row>
    <row r="41" spans="1:13" s="58" customFormat="1" ht="30.75" customHeight="1">
      <c r="A41" s="1395" t="s">
        <v>382</v>
      </c>
      <c r="B41" s="1370"/>
      <c r="C41" s="1373" t="s">
        <v>449</v>
      </c>
      <c r="D41" s="1353" t="s">
        <v>260</v>
      </c>
      <c r="E41" s="1353"/>
      <c r="F41" s="1353"/>
      <c r="G41" s="1392" t="s">
        <v>287</v>
      </c>
      <c r="H41" s="1393"/>
      <c r="I41" s="1394"/>
      <c r="J41" s="1396">
        <v>6005.9004999999997</v>
      </c>
      <c r="K41" s="1396"/>
      <c r="L41" s="1396"/>
      <c r="M41" s="1400">
        <f>ROUND(2649*(1-$G$71),2)</f>
        <v>2649</v>
      </c>
    </row>
    <row r="42" spans="1:13" s="58" customFormat="1" ht="29.25" customHeight="1">
      <c r="A42" s="1368"/>
      <c r="B42" s="1371"/>
      <c r="C42" s="1374"/>
      <c r="D42" s="1354"/>
      <c r="E42" s="1354"/>
      <c r="F42" s="1354"/>
      <c r="G42" s="1320" t="s">
        <v>262</v>
      </c>
      <c r="H42" s="1320"/>
      <c r="I42" s="1320"/>
      <c r="J42" s="1320" t="s">
        <v>93</v>
      </c>
      <c r="K42" s="1320"/>
      <c r="L42" s="1320"/>
      <c r="M42" s="1382"/>
    </row>
    <row r="43" spans="1:13" s="58" customFormat="1" ht="30.75" customHeight="1">
      <c r="A43" s="1368"/>
      <c r="B43" s="1371"/>
      <c r="C43" s="1374"/>
      <c r="D43" s="1326"/>
      <c r="E43" s="1326"/>
      <c r="F43" s="1326"/>
      <c r="G43" s="1320" t="s">
        <v>264</v>
      </c>
      <c r="H43" s="1320"/>
      <c r="I43" s="1320"/>
      <c r="J43" s="1320" t="s">
        <v>94</v>
      </c>
      <c r="K43" s="1320"/>
      <c r="L43" s="1320"/>
      <c r="M43" s="1382"/>
    </row>
    <row r="44" spans="1:13" s="58" customFormat="1" ht="30.75" customHeight="1">
      <c r="A44" s="1368"/>
      <c r="B44" s="1372"/>
      <c r="C44" s="1375"/>
      <c r="D44" s="1326"/>
      <c r="E44" s="1326"/>
      <c r="F44" s="1326"/>
      <c r="G44" s="1320" t="s">
        <v>266</v>
      </c>
      <c r="H44" s="1320"/>
      <c r="I44" s="1320"/>
      <c r="J44" s="1320" t="s">
        <v>267</v>
      </c>
      <c r="K44" s="1320"/>
      <c r="L44" s="1320"/>
      <c r="M44" s="1331"/>
    </row>
    <row r="45" spans="1:13" s="58" customFormat="1" ht="60.75" customHeight="1" thickBot="1">
      <c r="A45" s="1369"/>
      <c r="B45" s="322"/>
      <c r="C45" s="323" t="s">
        <v>383</v>
      </c>
      <c r="D45" s="1397"/>
      <c r="E45" s="1398"/>
      <c r="F45" s="1399"/>
      <c r="G45" s="1345" t="s">
        <v>384</v>
      </c>
      <c r="H45" s="1346"/>
      <c r="I45" s="1346"/>
      <c r="J45" s="1346"/>
      <c r="K45" s="1346"/>
      <c r="L45" s="1347"/>
      <c r="M45" s="380">
        <f>ROUND(290*(1-$G$71),2)</f>
        <v>290</v>
      </c>
    </row>
    <row r="46" spans="1:13" s="58" customFormat="1">
      <c r="A46" s="1404" t="s">
        <v>385</v>
      </c>
      <c r="B46" s="1405"/>
      <c r="C46" s="1325" t="s">
        <v>386</v>
      </c>
      <c r="D46" s="1420" t="s">
        <v>368</v>
      </c>
      <c r="E46" s="1421"/>
      <c r="F46" s="1422" t="s">
        <v>379</v>
      </c>
      <c r="G46" s="1320" t="s">
        <v>287</v>
      </c>
      <c r="H46" s="1320"/>
      <c r="I46" s="1320"/>
      <c r="J46" s="1320" t="s">
        <v>345</v>
      </c>
      <c r="K46" s="1320"/>
      <c r="L46" s="1320"/>
      <c r="M46" s="1321">
        <f>ROUND(870*(1-$G$71),2)</f>
        <v>870</v>
      </c>
    </row>
    <row r="47" spans="1:13" s="58" customFormat="1" ht="33.75" customHeight="1">
      <c r="A47" s="1404"/>
      <c r="B47" s="1405"/>
      <c r="C47" s="1325"/>
      <c r="D47" s="1391"/>
      <c r="E47" s="1381"/>
      <c r="F47" s="1422"/>
      <c r="G47" s="1320"/>
      <c r="H47" s="1320"/>
      <c r="I47" s="1320"/>
      <c r="J47" s="1320"/>
      <c r="K47" s="1320"/>
      <c r="L47" s="1320"/>
      <c r="M47" s="1321"/>
    </row>
    <row r="48" spans="1:13" s="58" customFormat="1" ht="51" customHeight="1">
      <c r="A48" s="314" t="s">
        <v>118</v>
      </c>
      <c r="B48" s="372"/>
      <c r="C48" s="368" t="s">
        <v>119</v>
      </c>
      <c r="D48" s="1362" t="s">
        <v>120</v>
      </c>
      <c r="E48" s="1363"/>
      <c r="F48" s="1363"/>
      <c r="G48" s="1363"/>
      <c r="H48" s="1363"/>
      <c r="I48" s="1363"/>
      <c r="J48" s="1363"/>
      <c r="K48" s="1363"/>
      <c r="L48" s="1364"/>
      <c r="M48" s="375">
        <f>ROUND(160*(1-$G$71),2)</f>
        <v>160</v>
      </c>
    </row>
    <row r="49" spans="1:13" s="58" customFormat="1" ht="24.75" customHeight="1">
      <c r="A49" s="1404" t="s">
        <v>121</v>
      </c>
      <c r="B49" s="1414"/>
      <c r="C49" s="373" t="s">
        <v>387</v>
      </c>
      <c r="D49" s="1406" t="s">
        <v>122</v>
      </c>
      <c r="E49" s="1407"/>
      <c r="F49" s="1408"/>
      <c r="G49" s="1333" t="s">
        <v>123</v>
      </c>
      <c r="H49" s="1334"/>
      <c r="I49" s="1334"/>
      <c r="J49" s="1334"/>
      <c r="K49" s="1334"/>
      <c r="L49" s="1335"/>
      <c r="M49" s="375">
        <f>ROUND(1120*(1-$G$71),2)</f>
        <v>1120</v>
      </c>
    </row>
    <row r="50" spans="1:13" ht="30" customHeight="1">
      <c r="A50" s="1404"/>
      <c r="B50" s="1415"/>
      <c r="C50" s="365" t="s">
        <v>388</v>
      </c>
      <c r="D50" s="1416"/>
      <c r="E50" s="1417"/>
      <c r="F50" s="1418"/>
      <c r="G50" s="1384"/>
      <c r="H50" s="1385"/>
      <c r="I50" s="1385"/>
      <c r="J50" s="1385"/>
      <c r="K50" s="1385"/>
      <c r="L50" s="1386"/>
      <c r="M50" s="375">
        <f>ROUND(1400*(1-$G$71),2)</f>
        <v>1400</v>
      </c>
    </row>
    <row r="51" spans="1:13" ht="24" customHeight="1">
      <c r="A51" s="1404"/>
      <c r="B51" s="1414"/>
      <c r="C51" s="365" t="s">
        <v>124</v>
      </c>
      <c r="D51" s="1419" t="s">
        <v>125</v>
      </c>
      <c r="E51" s="1419"/>
      <c r="F51" s="1419"/>
      <c r="G51" s="1320" t="s">
        <v>123</v>
      </c>
      <c r="H51" s="1320"/>
      <c r="I51" s="1320"/>
      <c r="J51" s="1320"/>
      <c r="K51" s="1320"/>
      <c r="L51" s="1320"/>
      <c r="M51" s="375">
        <f>ROUND(1040*(1-$G$71),2)</f>
        <v>1040</v>
      </c>
    </row>
    <row r="52" spans="1:13" s="58" customFormat="1" ht="25.5" customHeight="1">
      <c r="A52" s="1404"/>
      <c r="B52" s="1415"/>
      <c r="C52" s="368" t="s">
        <v>126</v>
      </c>
      <c r="D52" s="1419"/>
      <c r="E52" s="1419"/>
      <c r="F52" s="1419"/>
      <c r="G52" s="1320"/>
      <c r="H52" s="1320"/>
      <c r="I52" s="1320"/>
      <c r="J52" s="1320"/>
      <c r="K52" s="1320"/>
      <c r="L52" s="1320"/>
      <c r="M52" s="375">
        <f>ROUND(1840*(1-$G$71),2)</f>
        <v>1840</v>
      </c>
    </row>
    <row r="53" spans="1:13" s="58" customFormat="1" ht="25.5" customHeight="1">
      <c r="A53" s="1404" t="s">
        <v>121</v>
      </c>
      <c r="B53" s="1405"/>
      <c r="C53" s="1325" t="s">
        <v>346</v>
      </c>
      <c r="D53" s="1406" t="s">
        <v>122</v>
      </c>
      <c r="E53" s="1407"/>
      <c r="F53" s="1408"/>
      <c r="G53" s="1333" t="s">
        <v>128</v>
      </c>
      <c r="H53" s="1334"/>
      <c r="I53" s="1334"/>
      <c r="J53" s="1334"/>
      <c r="K53" s="1334"/>
      <c r="L53" s="1335"/>
      <c r="M53" s="1412">
        <f>ROUND(400*(1-$G$71),2)</f>
        <v>400</v>
      </c>
    </row>
    <row r="54" spans="1:13" s="58" customFormat="1" ht="25.5" customHeight="1">
      <c r="A54" s="1404"/>
      <c r="B54" s="1405"/>
      <c r="C54" s="1325"/>
      <c r="D54" s="1409"/>
      <c r="E54" s="1410"/>
      <c r="F54" s="1411"/>
      <c r="G54" s="1336"/>
      <c r="H54" s="1337"/>
      <c r="I54" s="1337"/>
      <c r="J54" s="1337"/>
      <c r="K54" s="1337"/>
      <c r="L54" s="1338"/>
      <c r="M54" s="1413"/>
    </row>
    <row r="55" spans="1:13" s="58" customFormat="1" ht="25.5" customHeight="1">
      <c r="A55" s="1404" t="s">
        <v>129</v>
      </c>
      <c r="B55" s="1405"/>
      <c r="C55" s="64" t="s">
        <v>389</v>
      </c>
      <c r="D55" s="1326" t="s">
        <v>127</v>
      </c>
      <c r="E55" s="1326"/>
      <c r="F55" s="1326"/>
      <c r="G55" s="1333" t="s">
        <v>130</v>
      </c>
      <c r="H55" s="1334"/>
      <c r="I55" s="1334"/>
      <c r="J55" s="1334"/>
      <c r="K55" s="1334"/>
      <c r="L55" s="1335"/>
      <c r="M55" s="375">
        <f>ROUND(490*(1-$G$71),2)</f>
        <v>490</v>
      </c>
    </row>
    <row r="56" spans="1:13" ht="24.9" customHeight="1">
      <c r="A56" s="1404"/>
      <c r="B56" s="1405"/>
      <c r="C56" s="64" t="s">
        <v>390</v>
      </c>
      <c r="D56" s="1326"/>
      <c r="E56" s="1326"/>
      <c r="F56" s="1326"/>
      <c r="G56" s="1336"/>
      <c r="H56" s="1337"/>
      <c r="I56" s="1337"/>
      <c r="J56" s="1337"/>
      <c r="K56" s="1337"/>
      <c r="L56" s="1338"/>
      <c r="M56" s="375">
        <f>ROUND(540*(1-$G$71),2)</f>
        <v>540</v>
      </c>
    </row>
    <row r="57" spans="1:13" ht="47.25" customHeight="1">
      <c r="A57" s="369" t="s">
        <v>205</v>
      </c>
      <c r="B57" s="370"/>
      <c r="C57" s="63" t="s">
        <v>206</v>
      </c>
      <c r="D57" s="65" t="s">
        <v>207</v>
      </c>
      <c r="E57" s="274" t="s">
        <v>208</v>
      </c>
      <c r="F57" s="274" t="s">
        <v>209</v>
      </c>
      <c r="G57" s="1339" t="s">
        <v>210</v>
      </c>
      <c r="H57" s="1340"/>
      <c r="I57" s="1340"/>
      <c r="J57" s="1340"/>
      <c r="K57" s="1340"/>
      <c r="L57" s="1341"/>
      <c r="M57" s="375">
        <f>ROUND(1680*(1-$G$71),2)</f>
        <v>1680</v>
      </c>
    </row>
    <row r="58" spans="1:13" ht="47.25" customHeight="1">
      <c r="A58" s="369" t="s">
        <v>211</v>
      </c>
      <c r="B58" s="370"/>
      <c r="C58" s="365" t="s">
        <v>212</v>
      </c>
      <c r="D58" s="366" t="s">
        <v>213</v>
      </c>
      <c r="E58" s="1326" t="s">
        <v>214</v>
      </c>
      <c r="F58" s="1326"/>
      <c r="G58" s="1339" t="s">
        <v>391</v>
      </c>
      <c r="H58" s="1340"/>
      <c r="I58" s="1340"/>
      <c r="J58" s="1340"/>
      <c r="K58" s="1340"/>
      <c r="L58" s="1341"/>
      <c r="M58" s="375">
        <f>ROUND(2560*(1-$G$71),2)</f>
        <v>2560</v>
      </c>
    </row>
    <row r="59" spans="1:13" ht="47.25" customHeight="1">
      <c r="A59" s="369" t="s">
        <v>232</v>
      </c>
      <c r="B59" s="370"/>
      <c r="C59" s="63" t="s">
        <v>233</v>
      </c>
      <c r="D59" s="65" t="s">
        <v>213</v>
      </c>
      <c r="E59" s="274" t="s">
        <v>234</v>
      </c>
      <c r="F59" s="274" t="s">
        <v>235</v>
      </c>
      <c r="G59" s="1339" t="s">
        <v>236</v>
      </c>
      <c r="H59" s="1340"/>
      <c r="I59" s="1340"/>
      <c r="J59" s="1340"/>
      <c r="K59" s="1340"/>
      <c r="L59" s="1341"/>
      <c r="M59" s="375">
        <f>ROUND(1920*(1-$G$71),2)</f>
        <v>1920</v>
      </c>
    </row>
    <row r="60" spans="1:13" ht="32.25" customHeight="1">
      <c r="A60" s="1404" t="s">
        <v>392</v>
      </c>
      <c r="B60" s="1405"/>
      <c r="C60" s="1423" t="s">
        <v>268</v>
      </c>
      <c r="D60" s="1420" t="s">
        <v>269</v>
      </c>
      <c r="E60" s="1424"/>
      <c r="F60" s="1421"/>
      <c r="G60" s="1333" t="s">
        <v>270</v>
      </c>
      <c r="H60" s="1334"/>
      <c r="I60" s="1334"/>
      <c r="J60" s="1334"/>
      <c r="K60" s="1334"/>
      <c r="L60" s="1335"/>
      <c r="M60" s="1412">
        <f>ROUND(21600*(1-$G$71),2)</f>
        <v>21600</v>
      </c>
    </row>
    <row r="61" spans="1:13">
      <c r="A61" s="1404"/>
      <c r="B61" s="1405"/>
      <c r="C61" s="1375"/>
      <c r="D61" s="1391"/>
      <c r="E61" s="1380"/>
      <c r="F61" s="1381"/>
      <c r="G61" s="1336"/>
      <c r="H61" s="1337"/>
      <c r="I61" s="1337"/>
      <c r="J61" s="1337"/>
      <c r="K61" s="1337"/>
      <c r="L61" s="1338"/>
      <c r="M61" s="1413"/>
    </row>
    <row r="62" spans="1:13" ht="24.6">
      <c r="A62" s="369" t="s">
        <v>393</v>
      </c>
      <c r="B62" s="370"/>
      <c r="C62" s="368" t="s">
        <v>394</v>
      </c>
      <c r="D62" s="1362"/>
      <c r="E62" s="1363"/>
      <c r="F62" s="1364"/>
      <c r="G62" s="1339" t="s">
        <v>395</v>
      </c>
      <c r="H62" s="1340"/>
      <c r="I62" s="1340"/>
      <c r="J62" s="1340"/>
      <c r="K62" s="1340"/>
      <c r="L62" s="1341"/>
      <c r="M62" s="375">
        <f>ROUND(23360*(1-$G$71),2)</f>
        <v>23360</v>
      </c>
    </row>
    <row r="63" spans="1:13" ht="76.5" customHeight="1">
      <c r="A63" s="369" t="s">
        <v>396</v>
      </c>
      <c r="B63" s="370"/>
      <c r="C63" s="365" t="s">
        <v>271</v>
      </c>
      <c r="D63" s="1362" t="s">
        <v>272</v>
      </c>
      <c r="E63" s="1363"/>
      <c r="F63" s="1364"/>
      <c r="G63" s="1339" t="s">
        <v>113</v>
      </c>
      <c r="H63" s="1340"/>
      <c r="I63" s="1340"/>
      <c r="J63" s="1340"/>
      <c r="K63" s="1340"/>
      <c r="L63" s="1341"/>
      <c r="M63" s="375">
        <f>ROUND(25360*(1-$G$71),2)</f>
        <v>25360</v>
      </c>
    </row>
    <row r="64" spans="1:13" ht="57.75" customHeight="1">
      <c r="A64" s="369" t="s">
        <v>114</v>
      </c>
      <c r="B64" s="370"/>
      <c r="C64" s="365" t="s">
        <v>115</v>
      </c>
      <c r="D64" s="366" t="s">
        <v>207</v>
      </c>
      <c r="E64" s="1326" t="s">
        <v>160</v>
      </c>
      <c r="F64" s="1326"/>
      <c r="G64" s="1339" t="s">
        <v>116</v>
      </c>
      <c r="H64" s="1340"/>
      <c r="I64" s="1340"/>
      <c r="J64" s="1340"/>
      <c r="K64" s="1340"/>
      <c r="L64" s="1341"/>
      <c r="M64" s="375">
        <f>ROUND(1120*(1-$G$71),2)</f>
        <v>1120</v>
      </c>
    </row>
    <row r="65" spans="1:18" s="58" customFormat="1" ht="26.25" customHeight="1">
      <c r="A65" s="1425" t="s">
        <v>397</v>
      </c>
      <c r="B65" s="1425"/>
      <c r="C65" s="1425"/>
      <c r="D65" s="1425"/>
      <c r="E65" s="1425"/>
      <c r="F65" s="1425"/>
      <c r="G65" s="1425"/>
      <c r="H65" s="1425"/>
      <c r="I65" s="1425"/>
      <c r="J65" s="1425"/>
      <c r="K65" s="1425"/>
      <c r="L65" s="1425"/>
    </row>
    <row r="66" spans="1:18" s="58" customFormat="1" ht="22.5" customHeight="1">
      <c r="A66" s="1425"/>
      <c r="B66" s="1425"/>
      <c r="C66" s="1425"/>
      <c r="D66" s="1425"/>
      <c r="E66" s="1425"/>
      <c r="F66" s="1425"/>
      <c r="G66" s="1425"/>
      <c r="H66" s="1425"/>
      <c r="I66" s="1425"/>
      <c r="J66" s="1425"/>
      <c r="K66" s="1425"/>
      <c r="L66" s="1425"/>
    </row>
    <row r="67" spans="1:18" s="58" customFormat="1">
      <c r="A67" s="1425"/>
      <c r="B67" s="1425"/>
      <c r="C67" s="1425"/>
      <c r="D67" s="1425"/>
      <c r="E67" s="1425"/>
      <c r="F67" s="1425"/>
      <c r="G67" s="1425"/>
      <c r="H67" s="1425"/>
      <c r="I67" s="1425"/>
      <c r="J67" s="1425"/>
      <c r="K67" s="1425"/>
      <c r="L67" s="1425"/>
    </row>
    <row r="68" spans="1:18" s="58" customFormat="1" ht="50.25" customHeight="1">
      <c r="A68" s="1425"/>
      <c r="B68" s="1425"/>
      <c r="C68" s="1425"/>
      <c r="D68" s="1425"/>
      <c r="E68" s="1425"/>
      <c r="F68" s="1425"/>
      <c r="G68" s="1425"/>
      <c r="H68" s="1425"/>
      <c r="I68" s="1425"/>
      <c r="J68" s="1425"/>
      <c r="K68" s="1425"/>
      <c r="L68" s="1425"/>
    </row>
    <row r="69" spans="1:18" s="58" customFormat="1" ht="14.2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</row>
    <row r="70" spans="1:18" s="58" customFormat="1" ht="50.2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</row>
    <row r="71" spans="1:18" s="58" customFormat="1" ht="84.75" customHeight="1">
      <c r="A71" s="1255" t="s">
        <v>62</v>
      </c>
      <c r="B71" s="1256"/>
      <c r="C71" s="1256"/>
      <c r="D71" s="1256"/>
      <c r="E71" s="1256"/>
      <c r="F71" s="1256"/>
      <c r="G71" s="1426">
        <v>0</v>
      </c>
      <c r="H71" s="1427"/>
      <c r="I71" s="1428"/>
      <c r="J71" s="57"/>
      <c r="K71" s="57"/>
      <c r="L71" s="57"/>
      <c r="M71" s="57"/>
    </row>
    <row r="72" spans="1:18" s="58" customFormat="1" ht="111.75" customHeight="1">
      <c r="A72" s="57"/>
      <c r="B72" s="57"/>
      <c r="C72" s="59"/>
      <c r="D72" s="59"/>
      <c r="E72" s="57"/>
      <c r="F72" s="57"/>
      <c r="G72" s="57"/>
      <c r="H72" s="57"/>
      <c r="I72" s="57"/>
      <c r="J72" s="57"/>
      <c r="K72" s="57"/>
      <c r="L72" s="57"/>
      <c r="M72" s="57"/>
    </row>
    <row r="73" spans="1:18" s="58" customFormat="1" ht="75.75" customHeight="1">
      <c r="A73" s="57"/>
      <c r="B73" s="57"/>
      <c r="C73" s="59"/>
      <c r="D73" s="59"/>
      <c r="E73" s="57"/>
      <c r="F73" s="57"/>
      <c r="G73" s="57"/>
      <c r="H73" s="57"/>
      <c r="I73" s="57"/>
      <c r="J73" s="57"/>
      <c r="K73" s="57"/>
      <c r="L73" s="57"/>
      <c r="M73" s="57"/>
      <c r="R73" s="363"/>
    </row>
    <row r="74" spans="1:18" s="58" customFormat="1" ht="58.5" customHeight="1">
      <c r="A74" s="57"/>
      <c r="B74" s="57"/>
      <c r="C74" s="59"/>
      <c r="D74" s="59"/>
      <c r="E74" s="57"/>
      <c r="F74" s="57"/>
      <c r="G74" s="57"/>
      <c r="H74" s="57"/>
      <c r="I74" s="57"/>
      <c r="J74" s="57"/>
      <c r="K74" s="57"/>
      <c r="L74" s="57"/>
      <c r="M74" s="57"/>
    </row>
    <row r="75" spans="1:18" s="58" customFormat="1" ht="58.5" customHeight="1">
      <c r="A75" s="57"/>
      <c r="B75" s="57"/>
      <c r="C75" s="59"/>
      <c r="D75" s="59"/>
      <c r="E75" s="57"/>
      <c r="F75" s="57"/>
      <c r="G75" s="57"/>
      <c r="H75" s="57"/>
      <c r="I75" s="57"/>
      <c r="J75" s="57"/>
      <c r="K75" s="57"/>
      <c r="L75" s="57"/>
      <c r="M75" s="57"/>
    </row>
    <row r="76" spans="1:18" s="58" customFormat="1" ht="78.75" customHeight="1">
      <c r="A76" s="57"/>
      <c r="B76" s="57"/>
      <c r="C76" s="59"/>
      <c r="D76" s="59"/>
      <c r="E76" s="57"/>
      <c r="F76" s="57"/>
      <c r="G76" s="57"/>
      <c r="H76" s="57"/>
      <c r="I76" s="57"/>
      <c r="J76" s="57"/>
      <c r="K76" s="57"/>
      <c r="L76" s="57"/>
      <c r="M76" s="57"/>
    </row>
    <row r="77" spans="1:18" s="58" customFormat="1" ht="64.5" customHeight="1">
      <c r="A77" s="57"/>
      <c r="B77" s="57"/>
      <c r="C77" s="59"/>
      <c r="D77" s="59"/>
      <c r="E77" s="57"/>
      <c r="F77" s="57"/>
      <c r="G77" s="57"/>
      <c r="H77" s="57"/>
      <c r="I77" s="57"/>
      <c r="J77" s="57"/>
      <c r="K77" s="57"/>
      <c r="L77" s="57"/>
      <c r="M77" s="57"/>
    </row>
    <row r="78" spans="1:18" s="58" customFormat="1" ht="18.75" customHeight="1">
      <c r="A78" s="57"/>
      <c r="B78" s="57"/>
      <c r="C78" s="59"/>
      <c r="D78" s="59"/>
      <c r="E78" s="57"/>
      <c r="F78" s="57"/>
      <c r="G78" s="57"/>
      <c r="H78" s="57"/>
      <c r="I78" s="57"/>
      <c r="J78" s="57"/>
      <c r="K78" s="57"/>
      <c r="L78" s="57"/>
      <c r="M78" s="57"/>
    </row>
    <row r="79" spans="1:18" s="58" customFormat="1" ht="18.75" customHeight="1">
      <c r="A79" s="57"/>
      <c r="B79" s="57"/>
      <c r="C79" s="59"/>
      <c r="D79" s="59"/>
      <c r="E79" s="57"/>
      <c r="F79" s="57"/>
      <c r="G79" s="57"/>
      <c r="H79" s="57"/>
      <c r="I79" s="57"/>
      <c r="J79" s="57"/>
      <c r="K79" s="57"/>
      <c r="L79" s="57"/>
      <c r="M79" s="57"/>
    </row>
    <row r="80" spans="1:18" s="58" customFormat="1" ht="18.75" customHeight="1">
      <c r="A80" s="57"/>
      <c r="B80" s="57"/>
      <c r="C80" s="59"/>
      <c r="D80" s="59"/>
      <c r="E80" s="57"/>
      <c r="F80" s="57"/>
      <c r="G80" s="57"/>
      <c r="H80" s="57"/>
      <c r="I80" s="57"/>
      <c r="J80" s="57"/>
      <c r="K80" s="57"/>
      <c r="L80" s="57"/>
      <c r="M80" s="57"/>
    </row>
    <row r="81" spans="1:13" ht="16.5" customHeight="1"/>
    <row r="82" spans="1:13" ht="60" customHeight="1"/>
    <row r="84" spans="1:13" s="58" customFormat="1">
      <c r="A84" s="57"/>
      <c r="B84" s="57"/>
      <c r="C84" s="59"/>
      <c r="D84" s="59"/>
      <c r="E84" s="57"/>
      <c r="F84" s="57"/>
      <c r="G84" s="57"/>
      <c r="H84" s="57"/>
      <c r="I84" s="57"/>
      <c r="J84" s="57"/>
      <c r="K84" s="57"/>
      <c r="L84" s="57"/>
      <c r="M84" s="57"/>
    </row>
    <row r="88" spans="1:13" ht="60" customHeight="1">
      <c r="B88" s="313"/>
      <c r="C88" s="313"/>
      <c r="D88" s="313"/>
      <c r="E88" s="313"/>
      <c r="F88" s="313"/>
      <c r="G88" s="313"/>
      <c r="H88" s="313"/>
      <c r="I88" s="313"/>
      <c r="J88" s="313"/>
      <c r="K88" s="313"/>
      <c r="L88" s="313"/>
      <c r="M88" s="313"/>
    </row>
    <row r="89" spans="1:13">
      <c r="B89" s="60"/>
      <c r="C89" s="61"/>
      <c r="D89" s="61"/>
      <c r="E89" s="60"/>
      <c r="F89" s="60"/>
      <c r="G89" s="60"/>
      <c r="H89" s="60"/>
      <c r="I89" s="60"/>
      <c r="J89" s="60"/>
      <c r="K89" s="60"/>
      <c r="L89" s="60"/>
      <c r="M89" s="60"/>
    </row>
    <row r="104" spans="3:4">
      <c r="C104" s="61"/>
      <c r="D104" s="61"/>
    </row>
  </sheetData>
  <mergeCells count="166">
    <mergeCell ref="A65:L68"/>
    <mergeCell ref="A71:F71"/>
    <mergeCell ref="G71:I71"/>
    <mergeCell ref="M60:M61"/>
    <mergeCell ref="D62:F62"/>
    <mergeCell ref="G62:L62"/>
    <mergeCell ref="D63:F63"/>
    <mergeCell ref="G63:L63"/>
    <mergeCell ref="E64:F64"/>
    <mergeCell ref="G64:L64"/>
    <mergeCell ref="G59:L59"/>
    <mergeCell ref="A60:A61"/>
    <mergeCell ref="B60:B61"/>
    <mergeCell ref="C60:C61"/>
    <mergeCell ref="D60:F61"/>
    <mergeCell ref="G60:L61"/>
    <mergeCell ref="A55:A56"/>
    <mergeCell ref="B55:B56"/>
    <mergeCell ref="D55:F56"/>
    <mergeCell ref="G55:L56"/>
    <mergeCell ref="G57:L57"/>
    <mergeCell ref="E58:F58"/>
    <mergeCell ref="G58:L58"/>
    <mergeCell ref="A53:A54"/>
    <mergeCell ref="B53:B54"/>
    <mergeCell ref="C53:C54"/>
    <mergeCell ref="D53:F54"/>
    <mergeCell ref="G53:L54"/>
    <mergeCell ref="M53:M54"/>
    <mergeCell ref="M46:M47"/>
    <mergeCell ref="D48:L48"/>
    <mergeCell ref="A49:A52"/>
    <mergeCell ref="B49:B50"/>
    <mergeCell ref="D49:F50"/>
    <mergeCell ref="G49:L50"/>
    <mergeCell ref="B51:B52"/>
    <mergeCell ref="D51:F52"/>
    <mergeCell ref="G51:L52"/>
    <mergeCell ref="A46:A47"/>
    <mergeCell ref="B46:B47"/>
    <mergeCell ref="C46:C47"/>
    <mergeCell ref="D46:E47"/>
    <mergeCell ref="F46:F47"/>
    <mergeCell ref="G46:I47"/>
    <mergeCell ref="J46:L47"/>
    <mergeCell ref="M41:M44"/>
    <mergeCell ref="G42:I42"/>
    <mergeCell ref="J42:L42"/>
    <mergeCell ref="G43:I43"/>
    <mergeCell ref="J43:L43"/>
    <mergeCell ref="G44:I44"/>
    <mergeCell ref="J44:L44"/>
    <mergeCell ref="G39:L39"/>
    <mergeCell ref="D40:E40"/>
    <mergeCell ref="G40:L40"/>
    <mergeCell ref="A41:A45"/>
    <mergeCell ref="B41:B44"/>
    <mergeCell ref="C41:C44"/>
    <mergeCell ref="D41:F44"/>
    <mergeCell ref="G41:I41"/>
    <mergeCell ref="J41:L41"/>
    <mergeCell ref="D45:F45"/>
    <mergeCell ref="A33:A40"/>
    <mergeCell ref="D39:E39"/>
    <mergeCell ref="G45:L45"/>
    <mergeCell ref="M33:M38"/>
    <mergeCell ref="G35:I35"/>
    <mergeCell ref="J35:L35"/>
    <mergeCell ref="G36:I36"/>
    <mergeCell ref="J36:L36"/>
    <mergeCell ref="G37:I38"/>
    <mergeCell ref="J37:L38"/>
    <mergeCell ref="B32:F32"/>
    <mergeCell ref="G32:L32"/>
    <mergeCell ref="B33:B38"/>
    <mergeCell ref="C33:C38"/>
    <mergeCell ref="D33:E38"/>
    <mergeCell ref="F33:F38"/>
    <mergeCell ref="G33:I34"/>
    <mergeCell ref="J33:L34"/>
    <mergeCell ref="B30:F30"/>
    <mergeCell ref="G30:L30"/>
    <mergeCell ref="B31:F31"/>
    <mergeCell ref="G31:L31"/>
    <mergeCell ref="M24:M25"/>
    <mergeCell ref="A26:A32"/>
    <mergeCell ref="B26:B28"/>
    <mergeCell ref="C26:C28"/>
    <mergeCell ref="D26:F28"/>
    <mergeCell ref="G26:I26"/>
    <mergeCell ref="J26:L26"/>
    <mergeCell ref="G27:I28"/>
    <mergeCell ref="J27:L28"/>
    <mergeCell ref="M27:M31"/>
    <mergeCell ref="J23:L23"/>
    <mergeCell ref="B24:B25"/>
    <mergeCell ref="C24:C25"/>
    <mergeCell ref="D24:E25"/>
    <mergeCell ref="F24:F25"/>
    <mergeCell ref="G24:I25"/>
    <mergeCell ref="J24:L25"/>
    <mergeCell ref="B29:F29"/>
    <mergeCell ref="G29:L29"/>
    <mergeCell ref="M18:M19"/>
    <mergeCell ref="A20:A25"/>
    <mergeCell ref="B20:B23"/>
    <mergeCell ref="C20:C23"/>
    <mergeCell ref="D20:F23"/>
    <mergeCell ref="G20:I20"/>
    <mergeCell ref="J20:L20"/>
    <mergeCell ref="M20:M23"/>
    <mergeCell ref="G21:I21"/>
    <mergeCell ref="J21:L21"/>
    <mergeCell ref="B18:B19"/>
    <mergeCell ref="C18:C19"/>
    <mergeCell ref="D18:E19"/>
    <mergeCell ref="F18:F19"/>
    <mergeCell ref="G18:I19"/>
    <mergeCell ref="J18:L19"/>
    <mergeCell ref="A13:A19"/>
    <mergeCell ref="B13:B17"/>
    <mergeCell ref="C13:C17"/>
    <mergeCell ref="D13:E17"/>
    <mergeCell ref="F13:F17"/>
    <mergeCell ref="G22:I22"/>
    <mergeCell ref="J22:L22"/>
    <mergeCell ref="G23:I23"/>
    <mergeCell ref="M13:M17"/>
    <mergeCell ref="G14:I14"/>
    <mergeCell ref="J14:L14"/>
    <mergeCell ref="G15:I16"/>
    <mergeCell ref="J15:L16"/>
    <mergeCell ref="G17:I17"/>
    <mergeCell ref="J17:L17"/>
    <mergeCell ref="G11:I12"/>
    <mergeCell ref="J11:L12"/>
    <mergeCell ref="M11:M12"/>
    <mergeCell ref="G13:I13"/>
    <mergeCell ref="J13:L13"/>
    <mergeCell ref="J6:L6"/>
    <mergeCell ref="M6:M10"/>
    <mergeCell ref="G7:I7"/>
    <mergeCell ref="J7:L7"/>
    <mergeCell ref="G8:I8"/>
    <mergeCell ref="J8:L8"/>
    <mergeCell ref="G9:I10"/>
    <mergeCell ref="J9:L10"/>
    <mergeCell ref="A6:A12"/>
    <mergeCell ref="B6:B10"/>
    <mergeCell ref="C6:C10"/>
    <mergeCell ref="D6:E10"/>
    <mergeCell ref="F6:F10"/>
    <mergeCell ref="G6:I6"/>
    <mergeCell ref="B11:B12"/>
    <mergeCell ref="C11:C12"/>
    <mergeCell ref="D11:E12"/>
    <mergeCell ref="F11:F12"/>
    <mergeCell ref="A1:M1"/>
    <mergeCell ref="A2:M2"/>
    <mergeCell ref="A4:A5"/>
    <mergeCell ref="B4:B5"/>
    <mergeCell ref="C4:C5"/>
    <mergeCell ref="D4:F4"/>
    <mergeCell ref="G4:L5"/>
    <mergeCell ref="M4:M5"/>
    <mergeCell ref="D5:E5"/>
  </mergeCells>
  <printOptions horizontalCentered="1"/>
  <pageMargins left="0" right="0" top="0" bottom="0" header="3.937007874015748E-2" footer="3.937007874015748E-2"/>
  <pageSetup scale="31" orientation="portrait" r:id="rId1"/>
  <headerFooter alignWithMargins="0">
    <oddFooter>&amp;R&amp;36Стр. &amp;P из  &amp;N
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10</vt:i4>
      </vt:variant>
    </vt:vector>
  </HeadingPairs>
  <TitlesOfParts>
    <vt:vector size="18" baseType="lpstr">
      <vt:lpstr>Панельные ограждения GL (стр.1)</vt:lpstr>
      <vt:lpstr>Панельные ограждения GL (стр.2)</vt:lpstr>
      <vt:lpstr>Эл-ты панельных ограждений</vt:lpstr>
      <vt:lpstr>Модульные ограждения GL</vt:lpstr>
      <vt:lpstr>Времен.огражд.+Рулон+Штакетник</vt:lpstr>
      <vt:lpstr>Откатные ворота</vt:lpstr>
      <vt:lpstr>Распашные ворота и калитки</vt:lpstr>
      <vt:lpstr>Locinox</vt:lpstr>
      <vt:lpstr>'Времен.огражд.+Рулон+Штакетник'!Print_Area</vt:lpstr>
      <vt:lpstr>'Распашные ворота и калитки'!Print_Area</vt:lpstr>
      <vt:lpstr>Locinox!Область_печати</vt:lpstr>
      <vt:lpstr>'Времен.огражд.+Рулон+Штакетник'!Область_печати</vt:lpstr>
      <vt:lpstr>'Модульные ограждения GL'!Область_печати</vt:lpstr>
      <vt:lpstr>'Откатные ворота'!Область_печати</vt:lpstr>
      <vt:lpstr>'Панельные ограждения GL (стр.1)'!Область_печати</vt:lpstr>
      <vt:lpstr>'Панельные ограждения GL (стр.2)'!Область_печати</vt:lpstr>
      <vt:lpstr>'Распашные ворота и калитки'!Область_печати</vt:lpstr>
      <vt:lpstr>'Эл-ты панельных ограждений'!Область_печати</vt:lpstr>
    </vt:vector>
  </TitlesOfParts>
  <Company>МСУЦ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Grand Line</dc:creator>
  <cp:keywords>Grand Line Ограждения</cp:keywords>
  <cp:lastModifiedBy>v.kudinov</cp:lastModifiedBy>
  <cp:lastPrinted>2016-04-19T06:44:12Z</cp:lastPrinted>
  <dcterms:created xsi:type="dcterms:W3CDTF">2012-07-09T12:54:34Z</dcterms:created>
  <dcterms:modified xsi:type="dcterms:W3CDTF">2016-04-20T11:42:11Z</dcterms:modified>
</cp:coreProperties>
</file>