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s\projects\Панельзабор\"/>
    </mc:Choice>
  </mc:AlternateContent>
  <xr:revisionPtr revIDLastSave="0" documentId="13_ncr:1_{519C6237-5EB5-44B5-BD4C-A6DEA8F803B6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Распродажа" sheetId="145" r:id="rId1"/>
    <sheet name="Модульные ограждения" sheetId="146" r:id="rId2"/>
    <sheet name="Панельные ограждения GL (стр.1)" sheetId="138" r:id="rId3"/>
    <sheet name="Панельные ограждения GL (стр.2)" sheetId="139" r:id="rId4"/>
    <sheet name="Эл-ты панельных ограждений - 1" sheetId="125" r:id="rId5"/>
    <sheet name="Эл-ты панельных ограждений - 2" sheetId="137" r:id="rId6"/>
    <sheet name="Применение столбов с фланцами" sheetId="155" r:id="rId7"/>
    <sheet name="Ограждения Optima+Рулон.Сетка" sheetId="136" r:id="rId8"/>
    <sheet name="Временные+Перфорированные" sheetId="147" r:id="rId9"/>
    <sheet name="X-Line+Protect+Газонные+Габион" sheetId="119" r:id="rId10"/>
    <sheet name="Откатные ворота" sheetId="150" r:id="rId11"/>
    <sheet name="Распашные ворота и калитки" sheetId="154" r:id="rId12"/>
    <sheet name="Входные группы Жалюзи" sheetId="152" r:id="rId13"/>
    <sheet name="Дополнения для входных групп" sheetId="156" r:id="rId14"/>
    <sheet name="Locinox" sheetId="133" r:id="rId15"/>
    <sheet name="Ограждения Жалюзи" sheetId="157" r:id="rId16"/>
    <sheet name="Milan | Milan Slim" sheetId="162" r:id="rId17"/>
    <sheet name="Tokyo" sheetId="163" r:id="rId18"/>
    <sheet name="Texas" sheetId="164" r:id="rId19"/>
    <sheet name="Palermo" sheetId="165" r:id="rId20"/>
    <sheet name="Штакетник_горизонтальный" sheetId="166" r:id="rId21"/>
    <sheet name="Данные1" sheetId="167" state="hidden" r:id="rId22"/>
  </sheets>
  <definedNames>
    <definedName name="Belarus">1</definedName>
    <definedName name="BelarusV">1</definedName>
    <definedName name="BelarusV_LFpe">1</definedName>
    <definedName name="BelarusV_LFzn">1</definedName>
    <definedName name="BelarusV_Modpe">1</definedName>
    <definedName name="BelarusV_Modzn">1</definedName>
    <definedName name="BelarusV_Mpe">1</definedName>
    <definedName name="BelarusV_Mzn">1</definedName>
    <definedName name="BelarusV_Vzn">1</definedName>
    <definedName name="BTYPS">Данные1!$A$156:$A$159</definedName>
    <definedName name="CBUAQ">Данные1!$A$165:$A$191</definedName>
    <definedName name="CCCMT">Данные1!$A$65:$A$69</definedName>
    <definedName name="CEXUI">Данные1!$A$156:$A$159</definedName>
    <definedName name="Drop" localSheetId="18">IF(Texas!$B$6="ламель125",Данные1!$N$78:$N$92,IF(AND(Texas!$B$6="ламель50",Texas!$B$7="25мм"),Данные1!$Z$78:$Z$106,IF(AND(Texas!$B$6="ламель50",Texas!$B$7="50мм"),Данные1!$AD$78:$AD$99,IF(AND(Texas!$B$6="ламель100",Texas!$B$7="25мм"),Данные1!$AP$78:$AP$87,IF(AND(Texas!$B$6="ламель150",Texas!$B$7="25мм"),Данные1!$R$78:$R$84,IF(AND(Texas!$B$6="ламель150",Texas!$B$7="50мм"),Данные1!$V$78:$V$89,IF(AND(Texas!$B$6="ламель200",Texas!$B$7="25мм"),Данные1!$AH$78:$AH$88,IF(AND(Texas!$B$6="ламель200",Texas!$B$7="50мм"),Данные1!$AL$78:$AL$87,""))))))))</definedName>
    <definedName name="DYRFP">Данные1!$B$5:$B$31</definedName>
    <definedName name="FIGQB">Данные1!$A$43:$A$59</definedName>
    <definedName name="FYLTY">Данные1!$A$79:$A$120</definedName>
    <definedName name="GQIBE">Данные1!$A$35:$A$41</definedName>
    <definedName name="GURGW">Данные1!$B$5:$B$31</definedName>
    <definedName name="IANCJ">Данные1!$A$156:$A$159</definedName>
    <definedName name="IQDLQ">Данные1!$A$5:$A$28</definedName>
    <definedName name="JJEDD">Данные1!$A$5:$A$28</definedName>
    <definedName name="JSLDC">Данные1!$B$5:$B$31</definedName>
    <definedName name="KPHTG">Данные1!$A$165:$A$191</definedName>
    <definedName name="LHMNL">Данные1!$A$79:$A$120</definedName>
    <definedName name="MilType">Данные1!$F$5:$F$6</definedName>
    <definedName name="MRGOJ">Данные1!$A$5:$A$28</definedName>
    <definedName name="MUGNQ">Данные1!$A$156:$A$159</definedName>
    <definedName name="OGGLT">Данные1!$A$35:$A$41</definedName>
    <definedName name="Print_Area" localSheetId="9">'X-Line+Protect+Газонные+Габион'!$A$1:$N$48</definedName>
    <definedName name="Print_Area" localSheetId="8">'Временные+Перфорированные'!$A$1:$N$36</definedName>
    <definedName name="Print_Area" localSheetId="12">'Входные группы Жалюзи'!$A$1:$Q$54</definedName>
    <definedName name="Print_Area" localSheetId="11">'Распашные ворота и калитки'!$A$1:$Q$56</definedName>
    <definedName name="PSAXR">Данные1!$A$35:$A$41</definedName>
    <definedName name="QPAFE">Данные1!$A$43:$A$59</definedName>
    <definedName name="RCHVF">Данные1!$A$203:$A$218</definedName>
    <definedName name="RCUTI">Данные1!$A$165:$A$191</definedName>
    <definedName name="RRWVS">Данные1!$A$125:$A$129</definedName>
    <definedName name="RWIPI">Данные1!$A$71:$A$73</definedName>
    <definedName name="SACMX">Данные1!$A$79:$A$120</definedName>
    <definedName name="TAYYL">Данные1!$A$35:$A$41</definedName>
    <definedName name="TexType">Данные1!$H$5:$H$6</definedName>
    <definedName name="TokyoType">Данные1!$G$5:$G$6</definedName>
    <definedName name="TTAIM">Данные1!$A$165:$A$191</definedName>
    <definedName name="VNIHD">Данные1!$A$43:$A$59</definedName>
    <definedName name="VNVOX">Данные1!$A$134:$A$151</definedName>
    <definedName name="WHMSA">Данные1!$A$43:$A$59</definedName>
    <definedName name="XCECV">Данные1!$A$79:$A$120</definedName>
    <definedName name="XODFC">Данные1!$B$5:$B$31</definedName>
    <definedName name="YAWAO">Данные1!$A$5:$A$28</definedName>
    <definedName name="Z_A22E8694_B07B_4E99_AA25_83A76CC13B05_.wvu.PrintArea" localSheetId="16" hidden="1">'Milan | Milan Slim'!$A$2:$K$88</definedName>
    <definedName name="Z_A22E8694_B07B_4E99_AA25_83A76CC13B05_.wvu.PrintArea" localSheetId="19" hidden="1">Palermo!$A$2:$K$83</definedName>
    <definedName name="Z_A22E8694_B07B_4E99_AA25_83A76CC13B05_.wvu.PrintArea" localSheetId="18" hidden="1">Texas!$A$2:$K$120</definedName>
    <definedName name="Z_A22E8694_B07B_4E99_AA25_83A76CC13B05_.wvu.PrintArea" localSheetId="17" hidden="1">Tokyo!$A$2:$K$101</definedName>
    <definedName name="Z_F69A7076_9F1C_4D95_80EA_B4A9F6043254_.wvu.PrintArea" localSheetId="16" hidden="1">'Milan | Milan Slim'!$A$2:$K$88</definedName>
    <definedName name="Z_F69A7076_9F1C_4D95_80EA_B4A9F6043254_.wvu.PrintArea" localSheetId="19" hidden="1">Palermo!$A$2:$K$83</definedName>
    <definedName name="Z_F69A7076_9F1C_4D95_80EA_B4A9F6043254_.wvu.PrintArea" localSheetId="18" hidden="1">Texas!$A$2:$K$120</definedName>
    <definedName name="Z_F69A7076_9F1C_4D95_80EA_B4A9F6043254_.wvu.PrintArea" localSheetId="17" hidden="1">Tokyo!$A$2:$K$101</definedName>
    <definedName name="_xlnm.Print_Area" localSheetId="14">Locinox!$A$1:$I$53</definedName>
    <definedName name="_xlnm.Print_Area" localSheetId="16">'Milan | Milan Slim'!$A$2:$I$79</definedName>
    <definedName name="_xlnm.Print_Area" localSheetId="19">Palermo!$A$2:$I$78</definedName>
    <definedName name="_xlnm.Print_Area" localSheetId="18">Texas!$A$2:$I$117</definedName>
    <definedName name="_xlnm.Print_Area" localSheetId="17">Tokyo!$A$2:$I$74</definedName>
    <definedName name="_xlnm.Print_Area" localSheetId="9">'X-Line+Protect+Газонные+Габион'!$A$1:$N$49</definedName>
    <definedName name="_xlnm.Print_Area" localSheetId="8">'Временные+Перфорированные'!$A$1:$N$47</definedName>
    <definedName name="_xlnm.Print_Area" localSheetId="12">'Входные группы Жалюзи'!$A$1:$S$53</definedName>
    <definedName name="_xlnm.Print_Area" localSheetId="13">'Дополнения для входных групп'!$A$1:$I$47</definedName>
    <definedName name="_xlnm.Print_Area" localSheetId="1">'Модульные ограждения'!$A$1:$L$62</definedName>
    <definedName name="_xlnm.Print_Area" localSheetId="7">'Ограждения Optima+Рулон.Сетка'!$A$1:$J$68</definedName>
    <definedName name="_xlnm.Print_Area" localSheetId="15">'Ограждения Жалюзи'!$A$1:$R$79</definedName>
    <definedName name="_xlnm.Print_Area" localSheetId="10">'Откатные ворота'!$A$1:$Q$42</definedName>
    <definedName name="_xlnm.Print_Area" localSheetId="2">'Панельные ограждения GL (стр.1)'!$A$1:$N$77</definedName>
    <definedName name="_xlnm.Print_Area" localSheetId="3">'Панельные ограждения GL (стр.2)'!$A$1:$M$53</definedName>
    <definedName name="_xlnm.Print_Area" localSheetId="6">'Применение столбов с фланцами'!$A$1:$G$12</definedName>
    <definedName name="_xlnm.Print_Area" localSheetId="11">'Распашные ворота и калитки'!$A$1:$S$57</definedName>
    <definedName name="_xlnm.Print_Area" localSheetId="0">Распродажа!$A$1:$F$18</definedName>
    <definedName name="_xlnm.Print_Area" localSheetId="20">Штакетник_горизонтальный!$A$1:$I$53</definedName>
    <definedName name="_xlnm.Print_Area" localSheetId="4">'Эл-ты панельных ограждений - 1'!$A$1:$I$74</definedName>
    <definedName name="_xlnm.Print_Area" localSheetId="5">'Эл-ты панельных ограждений - 2'!$A$1:$G$50</definedName>
    <definedName name="Ф1">Штакетник_горизонтальный!$DU$345</definedName>
  </definedNames>
  <calcPr calcId="191029"/>
</workbook>
</file>

<file path=xl/calcChain.xml><?xml version="1.0" encoding="utf-8"?>
<calcChain xmlns="http://schemas.openxmlformats.org/spreadsheetml/2006/main">
  <c r="O37" i="146" l="1"/>
  <c r="H7" i="156"/>
  <c r="H43" i="154" l="1"/>
  <c r="Q12" i="150"/>
  <c r="P12" i="150"/>
  <c r="O12" i="150"/>
  <c r="N12" i="150"/>
  <c r="M12" i="150"/>
  <c r="L12" i="150"/>
  <c r="K12" i="150"/>
  <c r="J12" i="150"/>
  <c r="I12" i="150"/>
  <c r="H12" i="150"/>
  <c r="G12" i="150"/>
  <c r="F12" i="150"/>
  <c r="I32" i="136"/>
  <c r="F50" i="152"/>
  <c r="F49" i="152"/>
  <c r="I70" i="165"/>
  <c r="G70" i="165"/>
  <c r="E70" i="165"/>
  <c r="C70" i="165"/>
  <c r="I69" i="165"/>
  <c r="G69" i="165"/>
  <c r="E69" i="165"/>
  <c r="C69" i="165"/>
  <c r="I68" i="165"/>
  <c r="G68" i="165"/>
  <c r="E68" i="165"/>
  <c r="C68" i="165"/>
  <c r="I67" i="165"/>
  <c r="G67" i="165"/>
  <c r="E67" i="165"/>
  <c r="C67" i="165"/>
  <c r="I66" i="165"/>
  <c r="H66" i="165"/>
  <c r="G66" i="165"/>
  <c r="F66" i="165"/>
  <c r="E66" i="165"/>
  <c r="D66" i="165"/>
  <c r="C66" i="165"/>
  <c r="B66" i="165"/>
  <c r="I65" i="165"/>
  <c r="H65" i="165"/>
  <c r="G65" i="165"/>
  <c r="F65" i="165"/>
  <c r="E65" i="165"/>
  <c r="D65" i="165"/>
  <c r="C65" i="165"/>
  <c r="B65" i="165"/>
  <c r="I64" i="165"/>
  <c r="H64" i="165"/>
  <c r="G64" i="165"/>
  <c r="F64" i="165"/>
  <c r="E64" i="165"/>
  <c r="D64" i="165"/>
  <c r="C64" i="165"/>
  <c r="B64" i="165"/>
  <c r="I63" i="165"/>
  <c r="H63" i="165"/>
  <c r="G63" i="165"/>
  <c r="F63" i="165"/>
  <c r="E63" i="165"/>
  <c r="D63" i="165"/>
  <c r="C63" i="165"/>
  <c r="B63" i="165"/>
  <c r="I62" i="165"/>
  <c r="H62" i="165"/>
  <c r="G62" i="165"/>
  <c r="F62" i="165"/>
  <c r="E62" i="165"/>
  <c r="D62" i="165"/>
  <c r="C62" i="165"/>
  <c r="B62" i="165"/>
  <c r="I61" i="165"/>
  <c r="H61" i="165"/>
  <c r="G61" i="165"/>
  <c r="F61" i="165"/>
  <c r="E61" i="165"/>
  <c r="D61" i="165"/>
  <c r="C61" i="165"/>
  <c r="B61" i="165"/>
  <c r="I60" i="165"/>
  <c r="H60" i="165"/>
  <c r="G60" i="165"/>
  <c r="F60" i="165"/>
  <c r="E60" i="165"/>
  <c r="D60" i="165"/>
  <c r="C60" i="165"/>
  <c r="B60" i="165"/>
  <c r="I59" i="165"/>
  <c r="H59" i="165"/>
  <c r="G59" i="165"/>
  <c r="F59" i="165"/>
  <c r="E59" i="165"/>
  <c r="D59" i="165"/>
  <c r="C59" i="165"/>
  <c r="B59" i="165"/>
  <c r="I58" i="165"/>
  <c r="H58" i="165"/>
  <c r="G58" i="165"/>
  <c r="F58" i="165"/>
  <c r="E58" i="165"/>
  <c r="D58" i="165"/>
  <c r="C58" i="165"/>
  <c r="B58" i="165"/>
  <c r="I57" i="165"/>
  <c r="H57" i="165"/>
  <c r="G57" i="165"/>
  <c r="F57" i="165"/>
  <c r="E57" i="165"/>
  <c r="D57" i="165"/>
  <c r="C57" i="165"/>
  <c r="B57" i="165"/>
  <c r="I56" i="165"/>
  <c r="H56" i="165"/>
  <c r="G56" i="165"/>
  <c r="F56" i="165"/>
  <c r="E56" i="165"/>
  <c r="D56" i="165"/>
  <c r="C56" i="165"/>
  <c r="B56" i="165"/>
  <c r="I54" i="165"/>
  <c r="G54" i="165"/>
  <c r="E54" i="165"/>
  <c r="C54" i="165"/>
  <c r="I53" i="165"/>
  <c r="G53" i="165"/>
  <c r="E53" i="165"/>
  <c r="C53" i="165"/>
  <c r="I52" i="165"/>
  <c r="G52" i="165"/>
  <c r="E52" i="165"/>
  <c r="C52" i="165"/>
  <c r="I51" i="165"/>
  <c r="G51" i="165"/>
  <c r="E51" i="165"/>
  <c r="C51" i="165"/>
  <c r="I50" i="165"/>
  <c r="H50" i="165"/>
  <c r="G50" i="165"/>
  <c r="F50" i="165"/>
  <c r="E50" i="165"/>
  <c r="D50" i="165"/>
  <c r="C50" i="165"/>
  <c r="B50" i="165"/>
  <c r="I49" i="165"/>
  <c r="H49" i="165"/>
  <c r="G49" i="165"/>
  <c r="F49" i="165"/>
  <c r="E49" i="165"/>
  <c r="D49" i="165"/>
  <c r="C49" i="165"/>
  <c r="B49" i="165"/>
  <c r="I48" i="165"/>
  <c r="H48" i="165"/>
  <c r="G48" i="165"/>
  <c r="F48" i="165"/>
  <c r="E48" i="165"/>
  <c r="D48" i="165"/>
  <c r="C48" i="165"/>
  <c r="B48" i="165"/>
  <c r="I47" i="165"/>
  <c r="H47" i="165"/>
  <c r="G47" i="165"/>
  <c r="F47" i="165"/>
  <c r="E47" i="165"/>
  <c r="D47" i="165"/>
  <c r="C47" i="165"/>
  <c r="B47" i="165"/>
  <c r="I46" i="165"/>
  <c r="H46" i="165"/>
  <c r="G46" i="165"/>
  <c r="F46" i="165"/>
  <c r="E46" i="165"/>
  <c r="D46" i="165"/>
  <c r="C46" i="165"/>
  <c r="B46" i="165"/>
  <c r="I45" i="165"/>
  <c r="H45" i="165"/>
  <c r="G45" i="165"/>
  <c r="F45" i="165"/>
  <c r="E45" i="165"/>
  <c r="D45" i="165"/>
  <c r="C45" i="165"/>
  <c r="B45" i="165"/>
  <c r="I44" i="165"/>
  <c r="H44" i="165"/>
  <c r="G44" i="165"/>
  <c r="F44" i="165"/>
  <c r="E44" i="165"/>
  <c r="D44" i="165"/>
  <c r="C44" i="165"/>
  <c r="B44" i="165"/>
  <c r="G104" i="164"/>
  <c r="G103" i="164"/>
  <c r="G102" i="164"/>
  <c r="G101" i="164"/>
  <c r="G100" i="164"/>
  <c r="G99" i="164"/>
  <c r="G98" i="164"/>
  <c r="G97" i="164"/>
  <c r="G95" i="164"/>
  <c r="G96" i="164" s="1"/>
  <c r="G93" i="164"/>
  <c r="G91" i="164"/>
  <c r="G92" i="164" s="1"/>
  <c r="G89" i="164"/>
  <c r="G87" i="164"/>
  <c r="G88" i="164" s="1"/>
  <c r="G85" i="164"/>
  <c r="G83" i="164"/>
  <c r="G84" i="164" s="1"/>
  <c r="G81" i="164"/>
  <c r="I31" i="164"/>
  <c r="G31" i="164"/>
  <c r="E31" i="164"/>
  <c r="C31" i="164"/>
  <c r="I29" i="164"/>
  <c r="G29" i="164"/>
  <c r="E29" i="164"/>
  <c r="C29" i="164"/>
  <c r="I27" i="164"/>
  <c r="G27" i="164"/>
  <c r="E27" i="164"/>
  <c r="C27" i="164"/>
  <c r="I25" i="164"/>
  <c r="G25" i="164"/>
  <c r="E25" i="164"/>
  <c r="C25" i="164"/>
  <c r="I23" i="164"/>
  <c r="G23" i="164"/>
  <c r="E23" i="164"/>
  <c r="C23" i="164"/>
  <c r="I66" i="163"/>
  <c r="G66" i="163"/>
  <c r="E66" i="163"/>
  <c r="C66" i="163"/>
  <c r="I65" i="163"/>
  <c r="G65" i="163"/>
  <c r="E65" i="163"/>
  <c r="C65" i="163"/>
  <c r="I64" i="163"/>
  <c r="G64" i="163"/>
  <c r="E64" i="163"/>
  <c r="C64" i="163"/>
  <c r="I63" i="163"/>
  <c r="G63" i="163"/>
  <c r="E63" i="163"/>
  <c r="C63" i="163"/>
  <c r="I60" i="163"/>
  <c r="H60" i="163"/>
  <c r="G60" i="163"/>
  <c r="F60" i="163"/>
  <c r="E60" i="163"/>
  <c r="D60" i="163"/>
  <c r="C60" i="163"/>
  <c r="B60" i="163"/>
  <c r="I59" i="163"/>
  <c r="H59" i="163"/>
  <c r="G59" i="163"/>
  <c r="F59" i="163"/>
  <c r="E59" i="163"/>
  <c r="D59" i="163"/>
  <c r="C59" i="163"/>
  <c r="B59" i="163"/>
  <c r="I58" i="163"/>
  <c r="H58" i="163"/>
  <c r="G58" i="163"/>
  <c r="F58" i="163"/>
  <c r="E58" i="163"/>
  <c r="D58" i="163"/>
  <c r="C58" i="163"/>
  <c r="B58" i="163"/>
  <c r="I57" i="163"/>
  <c r="H57" i="163"/>
  <c r="G57" i="163"/>
  <c r="F57" i="163"/>
  <c r="E57" i="163"/>
  <c r="D57" i="163"/>
  <c r="C57" i="163"/>
  <c r="B57" i="163"/>
  <c r="I56" i="163"/>
  <c r="H56" i="163"/>
  <c r="G56" i="163"/>
  <c r="F56" i="163"/>
  <c r="E56" i="163"/>
  <c r="D56" i="163"/>
  <c r="C56" i="163"/>
  <c r="B56" i="163"/>
  <c r="I53" i="163"/>
  <c r="G53" i="163"/>
  <c r="E53" i="163"/>
  <c r="C53" i="163"/>
  <c r="I52" i="163"/>
  <c r="G52" i="163"/>
  <c r="E52" i="163"/>
  <c r="C52" i="163"/>
  <c r="I51" i="163"/>
  <c r="G51" i="163"/>
  <c r="E51" i="163"/>
  <c r="C51" i="163"/>
  <c r="I48" i="163"/>
  <c r="H48" i="163"/>
  <c r="G48" i="163"/>
  <c r="F48" i="163"/>
  <c r="E48" i="163"/>
  <c r="D48" i="163"/>
  <c r="C48" i="163"/>
  <c r="B48" i="163"/>
  <c r="I47" i="163"/>
  <c r="H47" i="163"/>
  <c r="G47" i="163"/>
  <c r="F47" i="163"/>
  <c r="E47" i="163"/>
  <c r="D47" i="163"/>
  <c r="C47" i="163"/>
  <c r="B47" i="163"/>
  <c r="I46" i="163"/>
  <c r="H46" i="163"/>
  <c r="G46" i="163"/>
  <c r="F46" i="163"/>
  <c r="E46" i="163"/>
  <c r="D46" i="163"/>
  <c r="C46" i="163"/>
  <c r="B46" i="163"/>
  <c r="I21" i="163"/>
  <c r="G21" i="163"/>
  <c r="E21" i="163"/>
  <c r="C21" i="163"/>
  <c r="I68" i="162"/>
  <c r="G68" i="162"/>
  <c r="E68" i="162"/>
  <c r="C68" i="162"/>
  <c r="I67" i="162"/>
  <c r="G67" i="162"/>
  <c r="E67" i="162"/>
  <c r="C67" i="162"/>
  <c r="I66" i="162"/>
  <c r="G66" i="162"/>
  <c r="E66" i="162"/>
  <c r="C66" i="162"/>
  <c r="I63" i="162"/>
  <c r="H63" i="162"/>
  <c r="G63" i="162"/>
  <c r="F63" i="162"/>
  <c r="E63" i="162"/>
  <c r="D63" i="162"/>
  <c r="C63" i="162"/>
  <c r="B63" i="162"/>
  <c r="I62" i="162"/>
  <c r="H62" i="162"/>
  <c r="G62" i="162"/>
  <c r="F62" i="162"/>
  <c r="E62" i="162"/>
  <c r="D62" i="162"/>
  <c r="C62" i="162"/>
  <c r="B62" i="162"/>
  <c r="I61" i="162"/>
  <c r="H61" i="162"/>
  <c r="G61" i="162"/>
  <c r="F61" i="162"/>
  <c r="E61" i="162"/>
  <c r="D61" i="162"/>
  <c r="C61" i="162"/>
  <c r="B61" i="162"/>
  <c r="I60" i="162"/>
  <c r="H60" i="162"/>
  <c r="G60" i="162"/>
  <c r="F60" i="162"/>
  <c r="F72" i="162" s="1"/>
  <c r="E60" i="162"/>
  <c r="D60" i="162"/>
  <c r="C60" i="162"/>
  <c r="B60" i="162"/>
  <c r="B72" i="162" s="1"/>
  <c r="I59" i="162"/>
  <c r="H59" i="162"/>
  <c r="H71" i="162" s="1"/>
  <c r="G59" i="162"/>
  <c r="F59" i="162"/>
  <c r="E59" i="162"/>
  <c r="D59" i="162"/>
  <c r="D71" i="162" s="1"/>
  <c r="C59" i="162"/>
  <c r="B59" i="162"/>
  <c r="I56" i="162"/>
  <c r="G56" i="162"/>
  <c r="E56" i="162"/>
  <c r="C56" i="162"/>
  <c r="I55" i="162"/>
  <c r="G55" i="162"/>
  <c r="E55" i="162"/>
  <c r="C55" i="162"/>
  <c r="I54" i="162"/>
  <c r="G54" i="162"/>
  <c r="E54" i="162"/>
  <c r="C54" i="162"/>
  <c r="I50" i="162"/>
  <c r="H50" i="162"/>
  <c r="G50" i="162"/>
  <c r="F50" i="162"/>
  <c r="E50" i="162"/>
  <c r="D50" i="162"/>
  <c r="C50" i="162"/>
  <c r="B50" i="162"/>
  <c r="I49" i="162"/>
  <c r="H49" i="162"/>
  <c r="G49" i="162"/>
  <c r="F49" i="162"/>
  <c r="E49" i="162"/>
  <c r="D49" i="162"/>
  <c r="C49" i="162"/>
  <c r="B49" i="162"/>
  <c r="I48" i="162"/>
  <c r="H48" i="162"/>
  <c r="H57" i="162" s="1"/>
  <c r="G48" i="162"/>
  <c r="F48" i="162"/>
  <c r="E48" i="162"/>
  <c r="D48" i="162"/>
  <c r="B48" i="162"/>
  <c r="C48" i="162"/>
  <c r="C52" i="162" s="1"/>
  <c r="AA106" i="167"/>
  <c r="AA105" i="167"/>
  <c r="AA104" i="167"/>
  <c r="AA103" i="167"/>
  <c r="AA102" i="167"/>
  <c r="AA101" i="167"/>
  <c r="AA100" i="167"/>
  <c r="AE99" i="167"/>
  <c r="AA99" i="167"/>
  <c r="AE98" i="167"/>
  <c r="AA98" i="167"/>
  <c r="AE97" i="167"/>
  <c r="AA97" i="167"/>
  <c r="AE96" i="167"/>
  <c r="AA96" i="167"/>
  <c r="AE95" i="167"/>
  <c r="AA95" i="167"/>
  <c r="AE94" i="167"/>
  <c r="AA94" i="167"/>
  <c r="AE93" i="167"/>
  <c r="AA93" i="167"/>
  <c r="AE92" i="167"/>
  <c r="AA92" i="167"/>
  <c r="AE91" i="167"/>
  <c r="AA91" i="167"/>
  <c r="AE90" i="167"/>
  <c r="AA90" i="167"/>
  <c r="AE89" i="167"/>
  <c r="AA89" i="167"/>
  <c r="AI88" i="167"/>
  <c r="AE88" i="167"/>
  <c r="AA88" i="167"/>
  <c r="AM87" i="167"/>
  <c r="AI87" i="167"/>
  <c r="AE87" i="167"/>
  <c r="AA87" i="167"/>
  <c r="AM86" i="167"/>
  <c r="AI86" i="167"/>
  <c r="AE86" i="167"/>
  <c r="AA86" i="167"/>
  <c r="AM85" i="167"/>
  <c r="AI85" i="167"/>
  <c r="AE85" i="167"/>
  <c r="AA85" i="167"/>
  <c r="AM84" i="167"/>
  <c r="AI84" i="167"/>
  <c r="AE84" i="167"/>
  <c r="AA84" i="167"/>
  <c r="AM83" i="167"/>
  <c r="AI83" i="167"/>
  <c r="AE83" i="167"/>
  <c r="AA83" i="167"/>
  <c r="AM82" i="167"/>
  <c r="AI82" i="167"/>
  <c r="AE82" i="167"/>
  <c r="AA82" i="167"/>
  <c r="AM81" i="167"/>
  <c r="AI81" i="167"/>
  <c r="AE81" i="167"/>
  <c r="AA81" i="167"/>
  <c r="AM80" i="167"/>
  <c r="AI80" i="167"/>
  <c r="AE80" i="167"/>
  <c r="AA80" i="167"/>
  <c r="AM79" i="167"/>
  <c r="AI79" i="167"/>
  <c r="AE79" i="167"/>
  <c r="AA79" i="167"/>
  <c r="T66" i="167"/>
  <c r="L20" i="167"/>
  <c r="L21" i="167" s="1"/>
  <c r="L22" i="167" s="1"/>
  <c r="L23" i="167" s="1"/>
  <c r="L24" i="167" s="1"/>
  <c r="L25" i="167" s="1"/>
  <c r="L26" i="167" s="1"/>
  <c r="L27" i="167" s="1"/>
  <c r="L28" i="167" s="1"/>
  <c r="EB384" i="166"/>
  <c r="EC384" i="166" s="1"/>
  <c r="DX382" i="166"/>
  <c r="DZ344" i="166"/>
  <c r="DZ343" i="166"/>
  <c r="EA342" i="166"/>
  <c r="DZ342" i="166"/>
  <c r="DZ341" i="166"/>
  <c r="DX341" i="166"/>
  <c r="DZ340" i="166"/>
  <c r="DZ339" i="166"/>
  <c r="EA330" i="166"/>
  <c r="EC331" i="166" s="1"/>
  <c r="DZ330" i="166"/>
  <c r="EC329" i="166"/>
  <c r="DZ329" i="166"/>
  <c r="DZ333" i="166" s="1"/>
  <c r="DZ296" i="166" s="1"/>
  <c r="DX329" i="166"/>
  <c r="EC328" i="166"/>
  <c r="ED328" i="166" s="1"/>
  <c r="DZ327" i="166"/>
  <c r="DZ315" i="166"/>
  <c r="DZ293" i="166" s="1"/>
  <c r="DZ312" i="166"/>
  <c r="DZ320" i="166" s="1"/>
  <c r="EC309" i="166"/>
  <c r="DZ309" i="166"/>
  <c r="DZ308" i="166"/>
  <c r="DZ318" i="166" s="1"/>
  <c r="EC307" i="166"/>
  <c r="DZ306" i="166"/>
  <c r="DY289" i="166"/>
  <c r="DY288" i="166"/>
  <c r="DY287" i="166"/>
  <c r="DY286" i="166"/>
  <c r="DZ284" i="166"/>
  <c r="A6" i="166"/>
  <c r="I74" i="165"/>
  <c r="G74" i="165"/>
  <c r="E74" i="165"/>
  <c r="C74" i="165"/>
  <c r="A42" i="165"/>
  <c r="I42" i="165" s="1"/>
  <c r="A41" i="165"/>
  <c r="G41" i="165" s="1"/>
  <c r="A40" i="165"/>
  <c r="E40" i="165" s="1"/>
  <c r="A39" i="165"/>
  <c r="C39" i="165" s="1"/>
  <c r="A37" i="165"/>
  <c r="I37" i="165" s="1"/>
  <c r="A36" i="165"/>
  <c r="G36" i="165" s="1"/>
  <c r="A35" i="165"/>
  <c r="E35" i="165" s="1"/>
  <c r="A34" i="165"/>
  <c r="C34" i="165" s="1"/>
  <c r="I31" i="165"/>
  <c r="I32" i="165" s="1"/>
  <c r="I76" i="165" s="1"/>
  <c r="H31" i="165"/>
  <c r="G31" i="165"/>
  <c r="G75" i="165" s="1"/>
  <c r="F31" i="165"/>
  <c r="E31" i="165"/>
  <c r="E75" i="165" s="1"/>
  <c r="D31" i="165"/>
  <c r="C31" i="165"/>
  <c r="C75" i="165" s="1"/>
  <c r="B31" i="165"/>
  <c r="I30" i="165"/>
  <c r="H30" i="165"/>
  <c r="G30" i="165"/>
  <c r="G73" i="165" s="1"/>
  <c r="F30" i="165"/>
  <c r="E30" i="165"/>
  <c r="E73" i="165" s="1"/>
  <c r="D30" i="165"/>
  <c r="C30" i="165"/>
  <c r="C73" i="165" s="1"/>
  <c r="B30" i="165"/>
  <c r="I29" i="165"/>
  <c r="H29" i="165"/>
  <c r="G29" i="165"/>
  <c r="G72" i="165" s="1"/>
  <c r="F29" i="165"/>
  <c r="E29" i="165"/>
  <c r="E72" i="165" s="1"/>
  <c r="D29" i="165"/>
  <c r="C29" i="165"/>
  <c r="C72" i="165" s="1"/>
  <c r="B29" i="165"/>
  <c r="I28" i="165"/>
  <c r="G28" i="165"/>
  <c r="E28" i="165"/>
  <c r="C28" i="165"/>
  <c r="H27" i="165"/>
  <c r="I27" i="165" s="1"/>
  <c r="F27" i="165"/>
  <c r="G27" i="165" s="1"/>
  <c r="D27" i="165"/>
  <c r="E27" i="165" s="1"/>
  <c r="B27" i="165"/>
  <c r="C27" i="165" s="1"/>
  <c r="H26" i="165"/>
  <c r="I26" i="165" s="1"/>
  <c r="F26" i="165"/>
  <c r="G26" i="165" s="1"/>
  <c r="D26" i="165"/>
  <c r="E26" i="165" s="1"/>
  <c r="B26" i="165"/>
  <c r="C26" i="165" s="1"/>
  <c r="H25" i="165"/>
  <c r="I25" i="165" s="1"/>
  <c r="F25" i="165"/>
  <c r="G25" i="165" s="1"/>
  <c r="D25" i="165"/>
  <c r="E25" i="165" s="1"/>
  <c r="B25" i="165"/>
  <c r="C25" i="165" s="1"/>
  <c r="H23" i="165"/>
  <c r="I23" i="165" s="1"/>
  <c r="I24" i="165" s="1"/>
  <c r="F23" i="165"/>
  <c r="G23" i="165" s="1"/>
  <c r="G24" i="165" s="1"/>
  <c r="D23" i="165"/>
  <c r="E23" i="165" s="1"/>
  <c r="E24" i="165" s="1"/>
  <c r="B23" i="165"/>
  <c r="C23" i="165" s="1"/>
  <c r="C24" i="165" s="1"/>
  <c r="H21" i="165"/>
  <c r="I21" i="165" s="1"/>
  <c r="I22" i="165" s="1"/>
  <c r="F21" i="165"/>
  <c r="G21" i="165" s="1"/>
  <c r="G22" i="165" s="1"/>
  <c r="D21" i="165"/>
  <c r="E21" i="165" s="1"/>
  <c r="E22" i="165" s="1"/>
  <c r="B21" i="165"/>
  <c r="C21" i="165" s="1"/>
  <c r="C22" i="165" s="1"/>
  <c r="H20" i="165"/>
  <c r="I20" i="165" s="1"/>
  <c r="F20" i="165"/>
  <c r="G20" i="165" s="1"/>
  <c r="D20" i="165"/>
  <c r="E20" i="165" s="1"/>
  <c r="B20" i="165"/>
  <c r="C20" i="165" s="1"/>
  <c r="H19" i="165"/>
  <c r="F19" i="165"/>
  <c r="D19" i="165"/>
  <c r="B19" i="165"/>
  <c r="A15" i="165"/>
  <c r="F106" i="164"/>
  <c r="F105" i="164"/>
  <c r="G107" i="164"/>
  <c r="G94" i="164"/>
  <c r="G90" i="164"/>
  <c r="G86" i="164"/>
  <c r="G82" i="164"/>
  <c r="H79" i="164"/>
  <c r="F79" i="164"/>
  <c r="D79" i="164"/>
  <c r="A58" i="164"/>
  <c r="A57" i="164"/>
  <c r="A56" i="164"/>
  <c r="A55" i="164"/>
  <c r="A53" i="164"/>
  <c r="A52" i="164"/>
  <c r="A51" i="164"/>
  <c r="A50" i="164"/>
  <c r="H48" i="164"/>
  <c r="F48" i="164"/>
  <c r="D48" i="164"/>
  <c r="B48" i="164"/>
  <c r="I47" i="164"/>
  <c r="H47" i="164" s="1"/>
  <c r="G47" i="164"/>
  <c r="F47" i="164" s="1"/>
  <c r="E47" i="164"/>
  <c r="D47" i="164" s="1"/>
  <c r="C47" i="164"/>
  <c r="B47" i="164" s="1"/>
  <c r="I45" i="164"/>
  <c r="G45" i="164"/>
  <c r="E45" i="164"/>
  <c r="C45" i="164"/>
  <c r="I44" i="164"/>
  <c r="G44" i="164"/>
  <c r="E44" i="164"/>
  <c r="C44" i="164"/>
  <c r="I42" i="164"/>
  <c r="G42" i="164"/>
  <c r="E42" i="164"/>
  <c r="C42" i="164"/>
  <c r="I41" i="164"/>
  <c r="I43" i="164" s="1"/>
  <c r="H41" i="164"/>
  <c r="G41" i="164"/>
  <c r="G43" i="164" s="1"/>
  <c r="F41" i="164"/>
  <c r="E41" i="164"/>
  <c r="E43" i="164" s="1"/>
  <c r="D41" i="164"/>
  <c r="C41" i="164"/>
  <c r="C43" i="164" s="1"/>
  <c r="B41" i="164"/>
  <c r="I39" i="164"/>
  <c r="H39" i="164" s="1"/>
  <c r="G39" i="164"/>
  <c r="F39" i="164" s="1"/>
  <c r="E39" i="164"/>
  <c r="D39" i="164" s="1"/>
  <c r="C39" i="164"/>
  <c r="B39" i="164" s="1"/>
  <c r="H38" i="164"/>
  <c r="F38" i="164"/>
  <c r="D38" i="164"/>
  <c r="B38" i="164"/>
  <c r="H37" i="164"/>
  <c r="F37" i="164"/>
  <c r="D37" i="164"/>
  <c r="B37" i="164"/>
  <c r="I36" i="164"/>
  <c r="H36" i="164" s="1"/>
  <c r="G36" i="164"/>
  <c r="F36" i="164" s="1"/>
  <c r="E36" i="164"/>
  <c r="D36" i="164" s="1"/>
  <c r="C36" i="164"/>
  <c r="B36" i="164" s="1"/>
  <c r="I35" i="164"/>
  <c r="H35" i="164" s="1"/>
  <c r="G35" i="164"/>
  <c r="F35" i="164" s="1"/>
  <c r="E35" i="164"/>
  <c r="D35" i="164" s="1"/>
  <c r="C35" i="164"/>
  <c r="B35" i="164" s="1"/>
  <c r="I34" i="164"/>
  <c r="H34" i="164" s="1"/>
  <c r="G34" i="164"/>
  <c r="F34" i="164" s="1"/>
  <c r="E34" i="164"/>
  <c r="D34" i="164" s="1"/>
  <c r="C34" i="164"/>
  <c r="B34" i="164" s="1"/>
  <c r="H33" i="164"/>
  <c r="F33" i="164"/>
  <c r="D33" i="164"/>
  <c r="B33" i="164"/>
  <c r="H31" i="164"/>
  <c r="H32" i="164" s="1"/>
  <c r="F31" i="164"/>
  <c r="F32" i="164" s="1"/>
  <c r="D31" i="164"/>
  <c r="D32" i="164" s="1"/>
  <c r="B31" i="164"/>
  <c r="B32" i="164" s="1"/>
  <c r="H29" i="164"/>
  <c r="H30" i="164" s="1"/>
  <c r="F29" i="164"/>
  <c r="F30" i="164" s="1"/>
  <c r="D29" i="164"/>
  <c r="D30" i="164" s="1"/>
  <c r="B29" i="164"/>
  <c r="B30" i="164" s="1"/>
  <c r="H27" i="164"/>
  <c r="H28" i="164" s="1"/>
  <c r="F27" i="164"/>
  <c r="F28" i="164" s="1"/>
  <c r="D27" i="164"/>
  <c r="D28" i="164" s="1"/>
  <c r="B27" i="164"/>
  <c r="B28" i="164" s="1"/>
  <c r="H25" i="164"/>
  <c r="H26" i="164" s="1"/>
  <c r="F25" i="164"/>
  <c r="F26" i="164" s="1"/>
  <c r="D25" i="164"/>
  <c r="D26" i="164" s="1"/>
  <c r="B25" i="164"/>
  <c r="B26" i="164" s="1"/>
  <c r="H23" i="164"/>
  <c r="H24" i="164" s="1"/>
  <c r="F23" i="164"/>
  <c r="F24" i="164" s="1"/>
  <c r="D23" i="164"/>
  <c r="D24" i="164" s="1"/>
  <c r="B23" i="164"/>
  <c r="B24" i="164" s="1"/>
  <c r="A19" i="164"/>
  <c r="I67" i="163"/>
  <c r="G67" i="163"/>
  <c r="E67" i="163"/>
  <c r="C67" i="163"/>
  <c r="I61" i="163"/>
  <c r="H61" i="163" s="1"/>
  <c r="H66" i="163"/>
  <c r="G61" i="163"/>
  <c r="F61" i="163" s="1"/>
  <c r="F66" i="163"/>
  <c r="E61" i="163"/>
  <c r="D61" i="163" s="1"/>
  <c r="D66" i="163"/>
  <c r="C61" i="163"/>
  <c r="B66" i="163"/>
  <c r="I54" i="163"/>
  <c r="G54" i="163"/>
  <c r="E54" i="163"/>
  <c r="A44" i="163"/>
  <c r="I44" i="163" s="1"/>
  <c r="I62" i="163" s="1"/>
  <c r="H62" i="163" s="1"/>
  <c r="A43" i="163"/>
  <c r="G43" i="163" s="1"/>
  <c r="G62" i="163" s="1"/>
  <c r="F62" i="163" s="1"/>
  <c r="A42" i="163"/>
  <c r="E42" i="163" s="1"/>
  <c r="E62" i="163" s="1"/>
  <c r="D62" i="163" s="1"/>
  <c r="A41" i="163"/>
  <c r="C41" i="163" s="1"/>
  <c r="C62" i="163" s="1"/>
  <c r="A39" i="163"/>
  <c r="I39" i="163" s="1"/>
  <c r="A38" i="163"/>
  <c r="G38" i="163" s="1"/>
  <c r="A37" i="163"/>
  <c r="E37" i="163" s="1"/>
  <c r="A36" i="163"/>
  <c r="C36" i="163" s="1"/>
  <c r="H34" i="163"/>
  <c r="F34" i="163"/>
  <c r="D34" i="163"/>
  <c r="B34" i="163"/>
  <c r="I33" i="163"/>
  <c r="H33" i="163"/>
  <c r="G33" i="163"/>
  <c r="F33" i="163"/>
  <c r="E33" i="163"/>
  <c r="D33" i="163"/>
  <c r="C33" i="163"/>
  <c r="B33" i="163"/>
  <c r="I31" i="163"/>
  <c r="I71" i="163" s="1"/>
  <c r="H31" i="163"/>
  <c r="G31" i="163"/>
  <c r="F31" i="163"/>
  <c r="E31" i="163"/>
  <c r="E71" i="163" s="1"/>
  <c r="D31" i="163"/>
  <c r="C31" i="163"/>
  <c r="B31" i="163"/>
  <c r="I30" i="163"/>
  <c r="H30" i="163"/>
  <c r="G30" i="163"/>
  <c r="F30" i="163"/>
  <c r="E30" i="163"/>
  <c r="D30" i="163"/>
  <c r="C30" i="163"/>
  <c r="B30" i="163"/>
  <c r="C28" i="163"/>
  <c r="I27" i="163"/>
  <c r="G27" i="163"/>
  <c r="E27" i="163"/>
  <c r="C27" i="163"/>
  <c r="I26" i="163"/>
  <c r="H26" i="163"/>
  <c r="G26" i="163"/>
  <c r="F26" i="163"/>
  <c r="E26" i="163"/>
  <c r="D26" i="163"/>
  <c r="C26" i="163"/>
  <c r="B26" i="163"/>
  <c r="I25" i="163"/>
  <c r="I29" i="163" s="1"/>
  <c r="H25" i="163"/>
  <c r="G25" i="163"/>
  <c r="G29" i="163" s="1"/>
  <c r="F25" i="163"/>
  <c r="E25" i="163"/>
  <c r="E29" i="163" s="1"/>
  <c r="D25" i="163"/>
  <c r="C25" i="163"/>
  <c r="C29" i="163" s="1"/>
  <c r="B25" i="163"/>
  <c r="I24" i="163"/>
  <c r="H24" i="163"/>
  <c r="G24" i="163"/>
  <c r="F24" i="163"/>
  <c r="E24" i="163"/>
  <c r="D24" i="163"/>
  <c r="C24" i="163"/>
  <c r="B24" i="163"/>
  <c r="H23" i="163"/>
  <c r="F23" i="163"/>
  <c r="D23" i="163"/>
  <c r="B23" i="163"/>
  <c r="H22" i="163"/>
  <c r="F22" i="163"/>
  <c r="D22" i="163"/>
  <c r="B22" i="163"/>
  <c r="H21" i="163"/>
  <c r="F21" i="163"/>
  <c r="D21" i="163"/>
  <c r="B21" i="163"/>
  <c r="A17" i="163"/>
  <c r="I69" i="162"/>
  <c r="G69" i="162"/>
  <c r="E69" i="162"/>
  <c r="C69" i="162"/>
  <c r="A63" i="162"/>
  <c r="A62" i="162"/>
  <c r="A61" i="162"/>
  <c r="A60" i="162"/>
  <c r="A59" i="162"/>
  <c r="I53" i="162"/>
  <c r="G53" i="162"/>
  <c r="E53" i="162"/>
  <c r="C53" i="162"/>
  <c r="A50" i="162"/>
  <c r="A49" i="162"/>
  <c r="A48" i="162"/>
  <c r="I46" i="162"/>
  <c r="I70" i="162" s="1"/>
  <c r="A46" i="162"/>
  <c r="G45" i="162"/>
  <c r="G70" i="162" s="1"/>
  <c r="A45" i="162"/>
  <c r="E44" i="162"/>
  <c r="E70" i="162" s="1"/>
  <c r="A44" i="162"/>
  <c r="C43" i="162"/>
  <c r="C70" i="162" s="1"/>
  <c r="A43" i="162"/>
  <c r="I41" i="162"/>
  <c r="A41" i="162"/>
  <c r="G40" i="162"/>
  <c r="A40" i="162"/>
  <c r="E39" i="162"/>
  <c r="A39" i="162"/>
  <c r="C38" i="162"/>
  <c r="A38" i="162"/>
  <c r="H36" i="162"/>
  <c r="F36" i="162"/>
  <c r="D36" i="162"/>
  <c r="B36" i="162"/>
  <c r="I35" i="162"/>
  <c r="H35" i="162"/>
  <c r="G35" i="162"/>
  <c r="F35" i="162"/>
  <c r="E35" i="162"/>
  <c r="D35" i="162"/>
  <c r="C35" i="162"/>
  <c r="B35" i="162" s="1"/>
  <c r="I33" i="162"/>
  <c r="I76" i="162" s="1"/>
  <c r="H33" i="162"/>
  <c r="G33" i="162"/>
  <c r="F33" i="162"/>
  <c r="E33" i="162"/>
  <c r="E76" i="162" s="1"/>
  <c r="D33" i="162"/>
  <c r="C33" i="162"/>
  <c r="C76" i="162" s="1"/>
  <c r="B33" i="162"/>
  <c r="I32" i="162"/>
  <c r="H32" i="162"/>
  <c r="G32" i="162"/>
  <c r="F32" i="162"/>
  <c r="E32" i="162"/>
  <c r="D32" i="162"/>
  <c r="I30" i="162"/>
  <c r="G30" i="162"/>
  <c r="E30" i="162"/>
  <c r="C30" i="162"/>
  <c r="I29" i="162"/>
  <c r="G29" i="162"/>
  <c r="E29" i="162"/>
  <c r="C29" i="162"/>
  <c r="I28" i="162"/>
  <c r="H28" i="162"/>
  <c r="G28" i="162"/>
  <c r="F28" i="162"/>
  <c r="E28" i="162"/>
  <c r="D28" i="162"/>
  <c r="C28" i="162"/>
  <c r="B28" i="162"/>
  <c r="A28" i="162"/>
  <c r="I27" i="162"/>
  <c r="I31" i="162" s="1"/>
  <c r="H27" i="162"/>
  <c r="G27" i="162"/>
  <c r="G31" i="162" s="1"/>
  <c r="F27" i="162"/>
  <c r="E27" i="162"/>
  <c r="E31" i="162" s="1"/>
  <c r="D27" i="162"/>
  <c r="C27" i="162"/>
  <c r="C31" i="162" s="1"/>
  <c r="B27" i="162"/>
  <c r="A27" i="162"/>
  <c r="I26" i="162"/>
  <c r="H26" i="162"/>
  <c r="G26" i="162"/>
  <c r="F26" i="162"/>
  <c r="E26" i="162"/>
  <c r="D26" i="162"/>
  <c r="C26" i="162"/>
  <c r="B26" i="162"/>
  <c r="H25" i="162"/>
  <c r="I25" i="162" s="1"/>
  <c r="F25" i="162"/>
  <c r="G25" i="162" s="1"/>
  <c r="D25" i="162"/>
  <c r="E25" i="162" s="1"/>
  <c r="B25" i="162"/>
  <c r="C25" i="162" s="1"/>
  <c r="H24" i="162"/>
  <c r="I24" i="162" s="1"/>
  <c r="F24" i="162"/>
  <c r="G24" i="162" s="1"/>
  <c r="D24" i="162"/>
  <c r="E24" i="162" s="1"/>
  <c r="B24" i="162"/>
  <c r="C24" i="162" s="1"/>
  <c r="H23" i="162"/>
  <c r="I23" i="162" s="1"/>
  <c r="F23" i="162"/>
  <c r="G23" i="162" s="1"/>
  <c r="D23" i="162"/>
  <c r="E23" i="162" s="1"/>
  <c r="B23" i="162"/>
  <c r="C23" i="162" s="1"/>
  <c r="H22" i="162"/>
  <c r="I22" i="162" s="1"/>
  <c r="F22" i="162"/>
  <c r="G22" i="162" s="1"/>
  <c r="D22" i="162"/>
  <c r="E22" i="162" s="1"/>
  <c r="B22" i="162"/>
  <c r="C22" i="162" s="1"/>
  <c r="A22" i="162"/>
  <c r="A18" i="162"/>
  <c r="I19" i="165" l="1"/>
  <c r="G19" i="165"/>
  <c r="E19" i="165"/>
  <c r="C19" i="165"/>
  <c r="I72" i="162"/>
  <c r="G72" i="162"/>
  <c r="E72" i="162"/>
  <c r="C72" i="162"/>
  <c r="I71" i="162"/>
  <c r="G71" i="162"/>
  <c r="E71" i="162"/>
  <c r="C71" i="162"/>
  <c r="I57" i="162"/>
  <c r="G57" i="162"/>
  <c r="E57" i="162"/>
  <c r="C57" i="162"/>
  <c r="DZ347" i="166"/>
  <c r="DZ298" i="166" s="1"/>
  <c r="EA343" i="166"/>
  <c r="DZ336" i="166"/>
  <c r="DZ334" i="166"/>
  <c r="DZ297" i="166" s="1"/>
  <c r="ED331" i="166"/>
  <c r="EC330" i="166"/>
  <c r="ED330" i="166" s="1"/>
  <c r="ED329" i="166"/>
  <c r="DZ332" i="166" s="1"/>
  <c r="DZ317" i="166"/>
  <c r="DZ295" i="166" s="1"/>
  <c r="EF309" i="166"/>
  <c r="EF307" i="166"/>
  <c r="I75" i="165"/>
  <c r="I73" i="165"/>
  <c r="I72" i="165"/>
  <c r="G32" i="165"/>
  <c r="G76" i="165" s="1"/>
  <c r="C32" i="165"/>
  <c r="C76" i="165" s="1"/>
  <c r="I58" i="164"/>
  <c r="G57" i="164"/>
  <c r="E56" i="164"/>
  <c r="C55" i="164"/>
  <c r="I53" i="164"/>
  <c r="G52" i="164"/>
  <c r="E51" i="164"/>
  <c r="C50" i="164"/>
  <c r="I38" i="164"/>
  <c r="G38" i="164"/>
  <c r="E38" i="164"/>
  <c r="C38" i="164"/>
  <c r="I37" i="164"/>
  <c r="G37" i="164"/>
  <c r="E37" i="164"/>
  <c r="C37" i="164"/>
  <c r="G71" i="163"/>
  <c r="C71" i="163"/>
  <c r="B61" i="163"/>
  <c r="C54" i="163"/>
  <c r="I50" i="163"/>
  <c r="G50" i="163"/>
  <c r="E50" i="163"/>
  <c r="C50" i="163"/>
  <c r="B50" i="163" s="1"/>
  <c r="C70" i="163"/>
  <c r="G32" i="163"/>
  <c r="G72" i="163" s="1"/>
  <c r="C32" i="163"/>
  <c r="C72" i="163" s="1"/>
  <c r="I23" i="163"/>
  <c r="G23" i="163"/>
  <c r="E23" i="163"/>
  <c r="C23" i="163"/>
  <c r="I22" i="163"/>
  <c r="G22" i="163"/>
  <c r="E22" i="163"/>
  <c r="C22" i="163"/>
  <c r="G76" i="162"/>
  <c r="I64" i="162"/>
  <c r="H64" i="162" s="1"/>
  <c r="H70" i="162"/>
  <c r="G64" i="162"/>
  <c r="F64" i="162" s="1"/>
  <c r="F70" i="162"/>
  <c r="E64" i="162"/>
  <c r="D64" i="162" s="1"/>
  <c r="D70" i="162"/>
  <c r="C64" i="162"/>
  <c r="B64" i="162" s="1"/>
  <c r="B70" i="162"/>
  <c r="H72" i="162"/>
  <c r="D72" i="162"/>
  <c r="F71" i="162"/>
  <c r="B71" i="162"/>
  <c r="G52" i="162"/>
  <c r="G51" i="162"/>
  <c r="F51" i="162" s="1"/>
  <c r="I52" i="162"/>
  <c r="H52" i="162" s="1"/>
  <c r="F57" i="162"/>
  <c r="E52" i="162"/>
  <c r="D52" i="162" s="1"/>
  <c r="D57" i="162"/>
  <c r="B57" i="162"/>
  <c r="G34" i="162"/>
  <c r="G77" i="162" s="1"/>
  <c r="C34" i="162"/>
  <c r="C77" i="162" s="1"/>
  <c r="H31" i="162"/>
  <c r="D31" i="162"/>
  <c r="C32" i="162"/>
  <c r="B32" i="162" s="1"/>
  <c r="G70" i="163"/>
  <c r="F50" i="163"/>
  <c r="C51" i="162"/>
  <c r="B51" i="162" s="1"/>
  <c r="B43" i="164"/>
  <c r="D43" i="164"/>
  <c r="F43" i="164"/>
  <c r="H43" i="164"/>
  <c r="B29" i="163"/>
  <c r="F29" i="163"/>
  <c r="B62" i="163"/>
  <c r="E24" i="164"/>
  <c r="I24" i="164"/>
  <c r="E26" i="164"/>
  <c r="I26" i="164"/>
  <c r="E28" i="164"/>
  <c r="I28" i="164"/>
  <c r="E30" i="164"/>
  <c r="I30" i="164"/>
  <c r="E32" i="164"/>
  <c r="I32" i="164"/>
  <c r="E40" i="164"/>
  <c r="D40" i="164" s="1"/>
  <c r="I40" i="164"/>
  <c r="H40" i="164" s="1"/>
  <c r="D44" i="164"/>
  <c r="E112" i="164"/>
  <c r="I112" i="164"/>
  <c r="H44" i="164"/>
  <c r="D45" i="164"/>
  <c r="E114" i="164"/>
  <c r="I114" i="164"/>
  <c r="H45" i="164"/>
  <c r="I46" i="164"/>
  <c r="I115" i="164" s="1"/>
  <c r="B79" i="164"/>
  <c r="B78" i="164"/>
  <c r="B77" i="164"/>
  <c r="C70" i="164"/>
  <c r="D78" i="164"/>
  <c r="D77" i="164"/>
  <c r="E70" i="164"/>
  <c r="F78" i="164"/>
  <c r="F77" i="164"/>
  <c r="G70" i="164"/>
  <c r="G69" i="164"/>
  <c r="H78" i="164"/>
  <c r="H77" i="164"/>
  <c r="I70" i="164"/>
  <c r="I69" i="164"/>
  <c r="B106" i="164"/>
  <c r="B105" i="164"/>
  <c r="D29" i="163"/>
  <c r="H29" i="163"/>
  <c r="C24" i="164"/>
  <c r="G24" i="164"/>
  <c r="C26" i="164"/>
  <c r="G26" i="164"/>
  <c r="C28" i="164"/>
  <c r="G28" i="164"/>
  <c r="C30" i="164"/>
  <c r="G30" i="164"/>
  <c r="C32" i="164"/>
  <c r="G32" i="164"/>
  <c r="C40" i="164"/>
  <c r="B40" i="164" s="1"/>
  <c r="G40" i="164"/>
  <c r="F40" i="164" s="1"/>
  <c r="C112" i="164"/>
  <c r="B44" i="164"/>
  <c r="G112" i="164"/>
  <c r="F44" i="164"/>
  <c r="C114" i="164"/>
  <c r="C46" i="164"/>
  <c r="C115" i="164" s="1"/>
  <c r="B45" i="164"/>
  <c r="G114" i="164"/>
  <c r="G46" i="164"/>
  <c r="G115" i="164" s="1"/>
  <c r="F45" i="164"/>
  <c r="E46" i="164"/>
  <c r="E115" i="164" s="1"/>
  <c r="D22" i="165"/>
  <c r="H22" i="165"/>
  <c r="D24" i="165"/>
  <c r="H24" i="165"/>
  <c r="E32" i="163"/>
  <c r="E72" i="163" s="1"/>
  <c r="I32" i="163"/>
  <c r="I72" i="163" s="1"/>
  <c r="C49" i="163"/>
  <c r="B49" i="163" s="1"/>
  <c r="E49" i="163"/>
  <c r="D49" i="163" s="1"/>
  <c r="G49" i="163"/>
  <c r="F49" i="163" s="1"/>
  <c r="I49" i="163"/>
  <c r="H49" i="163" s="1"/>
  <c r="B22" i="165"/>
  <c r="F22" i="165"/>
  <c r="B24" i="165"/>
  <c r="F24" i="165"/>
  <c r="EA344" i="166"/>
  <c r="DY290" i="166"/>
  <c r="E32" i="165"/>
  <c r="E76" i="165" s="1"/>
  <c r="EF308" i="166"/>
  <c r="EJ307" i="166"/>
  <c r="ED307" i="166"/>
  <c r="DZ314" i="166"/>
  <c r="DZ292" i="166" s="1"/>
  <c r="DZ300" i="166"/>
  <c r="EJ308" i="166"/>
  <c r="EJ309" i="166"/>
  <c r="ED309" i="166"/>
  <c r="DZ313" i="166"/>
  <c r="DZ291" i="166" s="1"/>
  <c r="DZ331" i="166"/>
  <c r="DZ348" i="166"/>
  <c r="DZ299" i="166" s="1"/>
  <c r="DZ302" i="166"/>
  <c r="EC343" i="166"/>
  <c r="EC342" i="166"/>
  <c r="EC341" i="166"/>
  <c r="EC340" i="166"/>
  <c r="DZ350" i="166"/>
  <c r="DZ328" i="166"/>
  <c r="EK310" i="166"/>
  <c r="EC310" i="166"/>
  <c r="EC308" i="166"/>
  <c r="ED308" i="166" s="1"/>
  <c r="DZ307" i="166"/>
  <c r="DZ285" i="166" s="1"/>
  <c r="DZ316" i="166"/>
  <c r="DZ294" i="166" s="1"/>
  <c r="B52" i="162"/>
  <c r="F52" i="162"/>
  <c r="E65" i="162"/>
  <c r="D65" i="162" s="1"/>
  <c r="I65" i="162"/>
  <c r="H65" i="162" s="1"/>
  <c r="C65" i="162"/>
  <c r="B65" i="162" s="1"/>
  <c r="G65" i="162"/>
  <c r="F65" i="162" s="1"/>
  <c r="C74" i="162"/>
  <c r="G74" i="162"/>
  <c r="B31" i="162"/>
  <c r="F31" i="162"/>
  <c r="E51" i="162"/>
  <c r="D51" i="162" s="1"/>
  <c r="I51" i="162"/>
  <c r="H51" i="162" s="1"/>
  <c r="E34" i="162"/>
  <c r="E77" i="162" s="1"/>
  <c r="I34" i="162"/>
  <c r="I77" i="162" s="1"/>
  <c r="ED343" i="166" l="1"/>
  <c r="ED340" i="166"/>
  <c r="ED341" i="166"/>
  <c r="EC348" i="166" s="1"/>
  <c r="DZ289" i="166" s="1"/>
  <c r="ED342" i="166"/>
  <c r="H81" i="164"/>
  <c r="H82" i="164" s="1"/>
  <c r="I81" i="164"/>
  <c r="H83" i="164"/>
  <c r="H84" i="164" s="1"/>
  <c r="I83" i="164"/>
  <c r="I84" i="164" s="1"/>
  <c r="H85" i="164"/>
  <c r="H86" i="164" s="1"/>
  <c r="I85" i="164"/>
  <c r="I86" i="164" s="1"/>
  <c r="H87" i="164"/>
  <c r="H88" i="164" s="1"/>
  <c r="I87" i="164"/>
  <c r="I88" i="164" s="1"/>
  <c r="H89" i="164"/>
  <c r="H90" i="164" s="1"/>
  <c r="I89" i="164"/>
  <c r="I90" i="164" s="1"/>
  <c r="H91" i="164"/>
  <c r="H92" i="164" s="1"/>
  <c r="I91" i="164"/>
  <c r="I92" i="164" s="1"/>
  <c r="H93" i="164"/>
  <c r="H94" i="164" s="1"/>
  <c r="I93" i="164"/>
  <c r="I94" i="164" s="1"/>
  <c r="H95" i="164"/>
  <c r="H96" i="164" s="1"/>
  <c r="I95" i="164"/>
  <c r="I96" i="164" s="1"/>
  <c r="H97" i="164"/>
  <c r="I97" i="164"/>
  <c r="H98" i="164"/>
  <c r="I98" i="164"/>
  <c r="I99" i="164"/>
  <c r="I100" i="164"/>
  <c r="I101" i="164"/>
  <c r="I102" i="164"/>
  <c r="I103" i="164"/>
  <c r="I104" i="164"/>
  <c r="I105" i="164"/>
  <c r="I113" i="164" s="1"/>
  <c r="I108" i="164"/>
  <c r="I109" i="164"/>
  <c r="F81" i="164"/>
  <c r="F82" i="164" s="1"/>
  <c r="F83" i="164"/>
  <c r="F84" i="164" s="1"/>
  <c r="F85" i="164"/>
  <c r="F86" i="164" s="1"/>
  <c r="F87" i="164"/>
  <c r="F88" i="164" s="1"/>
  <c r="F89" i="164"/>
  <c r="F90" i="164" s="1"/>
  <c r="F91" i="164"/>
  <c r="F92" i="164" s="1"/>
  <c r="F93" i="164"/>
  <c r="F94" i="164" s="1"/>
  <c r="F95" i="164"/>
  <c r="F96" i="164" s="1"/>
  <c r="F97" i="164"/>
  <c r="F98" i="164"/>
  <c r="G105" i="164"/>
  <c r="G113" i="164" s="1"/>
  <c r="G106" i="164"/>
  <c r="G108" i="164"/>
  <c r="G109" i="164"/>
  <c r="D81" i="164"/>
  <c r="D82" i="164" s="1"/>
  <c r="E81" i="164"/>
  <c r="D83" i="164"/>
  <c r="D84" i="164" s="1"/>
  <c r="E83" i="164"/>
  <c r="E84" i="164" s="1"/>
  <c r="D85" i="164"/>
  <c r="D86" i="164" s="1"/>
  <c r="E85" i="164"/>
  <c r="E86" i="164" s="1"/>
  <c r="D87" i="164"/>
  <c r="D88" i="164" s="1"/>
  <c r="E87" i="164"/>
  <c r="E88" i="164" s="1"/>
  <c r="D89" i="164"/>
  <c r="D90" i="164" s="1"/>
  <c r="E89" i="164"/>
  <c r="E90" i="164" s="1"/>
  <c r="D91" i="164"/>
  <c r="D92" i="164" s="1"/>
  <c r="E91" i="164"/>
  <c r="E92" i="164" s="1"/>
  <c r="D93" i="164"/>
  <c r="D94" i="164" s="1"/>
  <c r="E93" i="164"/>
  <c r="E94" i="164" s="1"/>
  <c r="D95" i="164"/>
  <c r="D96" i="164" s="1"/>
  <c r="E95" i="164"/>
  <c r="E96" i="164" s="1"/>
  <c r="D97" i="164"/>
  <c r="E97" i="164"/>
  <c r="D98" i="164"/>
  <c r="E98" i="164"/>
  <c r="E99" i="164"/>
  <c r="E100" i="164"/>
  <c r="E101" i="164"/>
  <c r="E102" i="164"/>
  <c r="E103" i="164"/>
  <c r="E104" i="164"/>
  <c r="E105" i="164"/>
  <c r="E113" i="164" s="1"/>
  <c r="E108" i="164"/>
  <c r="E109" i="164"/>
  <c r="B81" i="164"/>
  <c r="B82" i="164" s="1"/>
  <c r="C81" i="164"/>
  <c r="B83" i="164"/>
  <c r="B84" i="164" s="1"/>
  <c r="C83" i="164"/>
  <c r="C84" i="164" s="1"/>
  <c r="B85" i="164"/>
  <c r="B86" i="164" s="1"/>
  <c r="C85" i="164"/>
  <c r="C86" i="164" s="1"/>
  <c r="B87" i="164"/>
  <c r="B88" i="164" s="1"/>
  <c r="C87" i="164"/>
  <c r="C88" i="164" s="1"/>
  <c r="B89" i="164"/>
  <c r="B90" i="164" s="1"/>
  <c r="C89" i="164"/>
  <c r="C90" i="164" s="1"/>
  <c r="B91" i="164"/>
  <c r="B92" i="164" s="1"/>
  <c r="C91" i="164"/>
  <c r="C92" i="164" s="1"/>
  <c r="B93" i="164"/>
  <c r="B94" i="164" s="1"/>
  <c r="C93" i="164"/>
  <c r="C94" i="164" s="1"/>
  <c r="B95" i="164"/>
  <c r="B96" i="164" s="1"/>
  <c r="C95" i="164"/>
  <c r="C96" i="164" s="1"/>
  <c r="B97" i="164"/>
  <c r="C97" i="164"/>
  <c r="B98" i="164"/>
  <c r="C98" i="164"/>
  <c r="C99" i="164"/>
  <c r="C100" i="164"/>
  <c r="C101" i="164"/>
  <c r="C102" i="164"/>
  <c r="C103" i="164"/>
  <c r="C104" i="164"/>
  <c r="C105" i="164"/>
  <c r="C113" i="164" s="1"/>
  <c r="C108" i="164"/>
  <c r="C109" i="164"/>
  <c r="H60" i="164"/>
  <c r="H61" i="164" s="1"/>
  <c r="I60" i="164"/>
  <c r="H62" i="164"/>
  <c r="H63" i="164" s="1"/>
  <c r="I62" i="164"/>
  <c r="I63" i="164" s="1"/>
  <c r="H64" i="164"/>
  <c r="H65" i="164" s="1"/>
  <c r="I64" i="164"/>
  <c r="I65" i="164" s="1"/>
  <c r="H66" i="164"/>
  <c r="H67" i="164" s="1"/>
  <c r="I66" i="164"/>
  <c r="I67" i="164" s="1"/>
  <c r="H68" i="164"/>
  <c r="H69" i="164"/>
  <c r="H70" i="164"/>
  <c r="I71" i="164"/>
  <c r="I72" i="164"/>
  <c r="I73" i="164"/>
  <c r="I74" i="164"/>
  <c r="I75" i="164"/>
  <c r="I76" i="164"/>
  <c r="F60" i="164"/>
  <c r="F61" i="164" s="1"/>
  <c r="G60" i="164"/>
  <c r="F62" i="164"/>
  <c r="F63" i="164" s="1"/>
  <c r="G62" i="164"/>
  <c r="G63" i="164" s="1"/>
  <c r="F64" i="164"/>
  <c r="F65" i="164" s="1"/>
  <c r="G64" i="164"/>
  <c r="G65" i="164" s="1"/>
  <c r="F66" i="164"/>
  <c r="F67" i="164" s="1"/>
  <c r="G66" i="164"/>
  <c r="G67" i="164" s="1"/>
  <c r="F68" i="164"/>
  <c r="F69" i="164"/>
  <c r="F70" i="164"/>
  <c r="G71" i="164"/>
  <c r="G72" i="164"/>
  <c r="G73" i="164"/>
  <c r="G74" i="164"/>
  <c r="G75" i="164"/>
  <c r="G76" i="164"/>
  <c r="D60" i="164"/>
  <c r="D61" i="164" s="1"/>
  <c r="E60" i="164"/>
  <c r="D62" i="164"/>
  <c r="D63" i="164" s="1"/>
  <c r="E62" i="164"/>
  <c r="E63" i="164" s="1"/>
  <c r="D64" i="164"/>
  <c r="D65" i="164" s="1"/>
  <c r="E64" i="164"/>
  <c r="E65" i="164" s="1"/>
  <c r="D66" i="164"/>
  <c r="D67" i="164" s="1"/>
  <c r="E66" i="164"/>
  <c r="E67" i="164" s="1"/>
  <c r="D68" i="164"/>
  <c r="D69" i="164"/>
  <c r="D70" i="164"/>
  <c r="E71" i="164"/>
  <c r="E72" i="164"/>
  <c r="E73" i="164"/>
  <c r="E74" i="164"/>
  <c r="E75" i="164"/>
  <c r="E76" i="164"/>
  <c r="B60" i="164"/>
  <c r="B61" i="164" s="1"/>
  <c r="C60" i="164"/>
  <c r="B62" i="164"/>
  <c r="B63" i="164" s="1"/>
  <c r="C62" i="164"/>
  <c r="C63" i="164" s="1"/>
  <c r="B64" i="164"/>
  <c r="B65" i="164" s="1"/>
  <c r="C64" i="164"/>
  <c r="C65" i="164" s="1"/>
  <c r="B66" i="164"/>
  <c r="B67" i="164" s="1"/>
  <c r="C66" i="164"/>
  <c r="C67" i="164" s="1"/>
  <c r="B68" i="164"/>
  <c r="B69" i="164"/>
  <c r="B70" i="164"/>
  <c r="C71" i="164"/>
  <c r="C72" i="164"/>
  <c r="C73" i="164"/>
  <c r="C74" i="164"/>
  <c r="C75" i="164"/>
  <c r="C76" i="164"/>
  <c r="I70" i="163"/>
  <c r="H50" i="163"/>
  <c r="E70" i="163"/>
  <c r="D50" i="163"/>
  <c r="D106" i="164"/>
  <c r="D105" i="164"/>
  <c r="H106" i="164"/>
  <c r="H105" i="164"/>
  <c r="E68" i="164"/>
  <c r="I68" i="164"/>
  <c r="I78" i="164" s="1"/>
  <c r="E69" i="164"/>
  <c r="C68" i="164"/>
  <c r="G68" i="164"/>
  <c r="G78" i="164" s="1"/>
  <c r="G111" i="164" s="1"/>
  <c r="C69" i="164"/>
  <c r="DZ311" i="166"/>
  <c r="DZ335" i="166"/>
  <c r="DZ287" i="166"/>
  <c r="EE331" i="166"/>
  <c r="I69" i="163"/>
  <c r="EF310" i="166"/>
  <c r="EJ310" i="166"/>
  <c r="EI310" i="166" s="1"/>
  <c r="ED310" i="166"/>
  <c r="EE310" i="166"/>
  <c r="EE343" i="166"/>
  <c r="EE342" i="166"/>
  <c r="EF342" i="166" s="1"/>
  <c r="EE341" i="166"/>
  <c r="ED348" i="166" s="1"/>
  <c r="DZ290" i="166" s="1"/>
  <c r="EE340" i="166"/>
  <c r="EF340" i="166" s="1"/>
  <c r="DZ286" i="166"/>
  <c r="DZ319" i="166"/>
  <c r="G79" i="164"/>
  <c r="F107" i="164" s="1"/>
  <c r="G77" i="164"/>
  <c r="G61" i="164"/>
  <c r="I79" i="164"/>
  <c r="H107" i="164" s="1"/>
  <c r="I77" i="164"/>
  <c r="I61" i="164"/>
  <c r="I106" i="164"/>
  <c r="I111" i="164" s="1"/>
  <c r="I82" i="164"/>
  <c r="H109" i="164"/>
  <c r="H108" i="164"/>
  <c r="F109" i="164"/>
  <c r="F108" i="164"/>
  <c r="C106" i="164"/>
  <c r="C82" i="164"/>
  <c r="B109" i="164"/>
  <c r="B108" i="164"/>
  <c r="G69" i="163"/>
  <c r="EB348" i="166"/>
  <c r="DZ288" i="166" s="1"/>
  <c r="EF341" i="166"/>
  <c r="EF343" i="166"/>
  <c r="DZ310" i="166"/>
  <c r="C78" i="164"/>
  <c r="C79" i="164"/>
  <c r="B107" i="164" s="1"/>
  <c r="C77" i="164"/>
  <c r="C61" i="164"/>
  <c r="E78" i="164"/>
  <c r="E79" i="164"/>
  <c r="D107" i="164" s="1"/>
  <c r="E77" i="164"/>
  <c r="E61" i="164"/>
  <c r="I107" i="164"/>
  <c r="E106" i="164"/>
  <c r="E82" i="164"/>
  <c r="E107" i="164"/>
  <c r="D109" i="164"/>
  <c r="D108" i="164"/>
  <c r="E69" i="163"/>
  <c r="C69" i="163"/>
  <c r="E75" i="162"/>
  <c r="I74" i="162"/>
  <c r="E74" i="162"/>
  <c r="G75" i="162"/>
  <c r="C75" i="162"/>
  <c r="I75" i="162"/>
  <c r="C107" i="164" l="1"/>
  <c r="EG343" i="166"/>
  <c r="DZ345" i="166"/>
  <c r="DZ346" i="166"/>
  <c r="E111" i="164"/>
  <c r="C111" i="164"/>
  <c r="DZ349" i="166" l="1"/>
  <c r="DZ301" i="166"/>
  <c r="I22" i="156" l="1"/>
  <c r="E79" i="157" l="1"/>
  <c r="R79" i="157"/>
  <c r="Q79" i="157"/>
  <c r="P79" i="157"/>
  <c r="O79" i="157"/>
  <c r="N79" i="157"/>
  <c r="M79" i="157"/>
  <c r="L79" i="157"/>
  <c r="K79" i="157"/>
  <c r="J79" i="157"/>
  <c r="I79" i="157"/>
  <c r="H79" i="157"/>
  <c r="G79" i="157"/>
  <c r="F79" i="157"/>
  <c r="R78" i="157"/>
  <c r="Q78" i="157"/>
  <c r="P78" i="157"/>
  <c r="O78" i="157"/>
  <c r="N78" i="157"/>
  <c r="M78" i="157"/>
  <c r="L78" i="157"/>
  <c r="K78" i="157"/>
  <c r="J78" i="157"/>
  <c r="I78" i="157"/>
  <c r="H78" i="157"/>
  <c r="G78" i="157"/>
  <c r="F78" i="157"/>
  <c r="E78" i="157"/>
  <c r="R77" i="157"/>
  <c r="Q77" i="157"/>
  <c r="P77" i="157"/>
  <c r="O77" i="157"/>
  <c r="N77" i="157"/>
  <c r="M77" i="157"/>
  <c r="L77" i="157"/>
  <c r="K77" i="157"/>
  <c r="J77" i="157"/>
  <c r="I77" i="157"/>
  <c r="H77" i="157"/>
  <c r="G77" i="157"/>
  <c r="F77" i="157"/>
  <c r="E77" i="157"/>
  <c r="R76" i="157"/>
  <c r="Q76" i="157"/>
  <c r="P76" i="157"/>
  <c r="O76" i="157"/>
  <c r="N76" i="157"/>
  <c r="M76" i="157"/>
  <c r="L76" i="157"/>
  <c r="K76" i="157"/>
  <c r="J76" i="157"/>
  <c r="I76" i="157"/>
  <c r="H76" i="157"/>
  <c r="G76" i="157"/>
  <c r="F76" i="157"/>
  <c r="E76" i="157"/>
  <c r="R75" i="157"/>
  <c r="Q75" i="157"/>
  <c r="P75" i="157"/>
  <c r="O75" i="157"/>
  <c r="N75" i="157"/>
  <c r="M75" i="157"/>
  <c r="L75" i="157"/>
  <c r="K75" i="157"/>
  <c r="J75" i="157"/>
  <c r="I75" i="157"/>
  <c r="H75" i="157"/>
  <c r="G75" i="157"/>
  <c r="F75" i="157"/>
  <c r="E75" i="157"/>
  <c r="R74" i="157"/>
  <c r="Q74" i="157"/>
  <c r="P74" i="157"/>
  <c r="O74" i="157"/>
  <c r="N74" i="157"/>
  <c r="M74" i="157"/>
  <c r="L74" i="157"/>
  <c r="K74" i="157"/>
  <c r="J74" i="157"/>
  <c r="I74" i="157"/>
  <c r="H74" i="157"/>
  <c r="G74" i="157"/>
  <c r="F74" i="157"/>
  <c r="E74" i="157"/>
  <c r="R73" i="157"/>
  <c r="Q73" i="157"/>
  <c r="P73" i="157"/>
  <c r="O73" i="157"/>
  <c r="N73" i="157"/>
  <c r="M73" i="157"/>
  <c r="L73" i="157"/>
  <c r="K73" i="157"/>
  <c r="J73" i="157"/>
  <c r="I73" i="157"/>
  <c r="H73" i="157"/>
  <c r="G73" i="157"/>
  <c r="F73" i="157"/>
  <c r="E73" i="157"/>
  <c r="R72" i="157"/>
  <c r="Q72" i="157"/>
  <c r="P72" i="157"/>
  <c r="O72" i="157"/>
  <c r="N72" i="157"/>
  <c r="M72" i="157"/>
  <c r="L72" i="157"/>
  <c r="K72" i="157"/>
  <c r="J72" i="157"/>
  <c r="I72" i="157"/>
  <c r="H72" i="157"/>
  <c r="G72" i="157"/>
  <c r="F72" i="157"/>
  <c r="E72" i="157"/>
  <c r="R71" i="157"/>
  <c r="Q71" i="157"/>
  <c r="P71" i="157"/>
  <c r="O71" i="157"/>
  <c r="N71" i="157"/>
  <c r="M71" i="157"/>
  <c r="L71" i="157"/>
  <c r="K71" i="157"/>
  <c r="J71" i="157"/>
  <c r="I71" i="157"/>
  <c r="H71" i="157"/>
  <c r="G71" i="157"/>
  <c r="F71" i="157"/>
  <c r="E71" i="157"/>
  <c r="R68" i="157"/>
  <c r="Q68" i="157"/>
  <c r="P68" i="157"/>
  <c r="O68" i="157"/>
  <c r="N68" i="157"/>
  <c r="M68" i="157"/>
  <c r="L68" i="157"/>
  <c r="K68" i="157"/>
  <c r="J68" i="157"/>
  <c r="I68" i="157"/>
  <c r="H68" i="157"/>
  <c r="G68" i="157"/>
  <c r="F68" i="157"/>
  <c r="E68" i="157"/>
  <c r="R67" i="157"/>
  <c r="Q67" i="157"/>
  <c r="P67" i="157"/>
  <c r="O67" i="157"/>
  <c r="N67" i="157"/>
  <c r="M67" i="157"/>
  <c r="L67" i="157"/>
  <c r="K67" i="157"/>
  <c r="J67" i="157"/>
  <c r="I67" i="157"/>
  <c r="H67" i="157"/>
  <c r="G67" i="157"/>
  <c r="F67" i="157"/>
  <c r="E67" i="157"/>
  <c r="R66" i="157"/>
  <c r="Q66" i="157"/>
  <c r="P66" i="157"/>
  <c r="O66" i="157"/>
  <c r="N66" i="157"/>
  <c r="M66" i="157"/>
  <c r="L66" i="157"/>
  <c r="K66" i="157"/>
  <c r="J66" i="157"/>
  <c r="I66" i="157"/>
  <c r="H66" i="157"/>
  <c r="G66" i="157"/>
  <c r="F66" i="157"/>
  <c r="E66" i="157"/>
  <c r="R65" i="157"/>
  <c r="Q65" i="157"/>
  <c r="P65" i="157"/>
  <c r="O65" i="157"/>
  <c r="N65" i="157"/>
  <c r="M65" i="157"/>
  <c r="L65" i="157"/>
  <c r="K65" i="157"/>
  <c r="J65" i="157"/>
  <c r="I65" i="157"/>
  <c r="H65" i="157"/>
  <c r="G65" i="157"/>
  <c r="F65" i="157"/>
  <c r="E65" i="157"/>
  <c r="R64" i="157"/>
  <c r="Q64" i="157"/>
  <c r="P64" i="157"/>
  <c r="O64" i="157"/>
  <c r="N64" i="157"/>
  <c r="M64" i="157"/>
  <c r="L64" i="157"/>
  <c r="K64" i="157"/>
  <c r="J64" i="157"/>
  <c r="I64" i="157"/>
  <c r="H64" i="157"/>
  <c r="G64" i="157"/>
  <c r="F64" i="157"/>
  <c r="E64" i="157"/>
  <c r="R63" i="157"/>
  <c r="Q63" i="157"/>
  <c r="P63" i="157"/>
  <c r="O63" i="157"/>
  <c r="N63" i="157"/>
  <c r="M63" i="157"/>
  <c r="L63" i="157"/>
  <c r="K63" i="157"/>
  <c r="J63" i="157"/>
  <c r="I63" i="157"/>
  <c r="H63" i="157"/>
  <c r="G63" i="157"/>
  <c r="F63" i="157"/>
  <c r="E63" i="157"/>
  <c r="R62" i="157"/>
  <c r="Q62" i="157"/>
  <c r="P62" i="157"/>
  <c r="O62" i="157"/>
  <c r="N62" i="157"/>
  <c r="M62" i="157"/>
  <c r="L62" i="157"/>
  <c r="K62" i="157"/>
  <c r="J62" i="157"/>
  <c r="I62" i="157"/>
  <c r="H62" i="157"/>
  <c r="G62" i="157"/>
  <c r="F62" i="157"/>
  <c r="E62" i="157"/>
  <c r="R61" i="157"/>
  <c r="Q61" i="157"/>
  <c r="P61" i="157"/>
  <c r="O61" i="157"/>
  <c r="N61" i="157"/>
  <c r="M61" i="157"/>
  <c r="L61" i="157"/>
  <c r="K61" i="157"/>
  <c r="J61" i="157"/>
  <c r="I61" i="157"/>
  <c r="H61" i="157"/>
  <c r="G61" i="157"/>
  <c r="F61" i="157"/>
  <c r="E61" i="157"/>
  <c r="R60" i="157"/>
  <c r="Q60" i="157"/>
  <c r="P60" i="157"/>
  <c r="O60" i="157"/>
  <c r="N60" i="157"/>
  <c r="M60" i="157"/>
  <c r="L60" i="157"/>
  <c r="K60" i="157"/>
  <c r="J60" i="157"/>
  <c r="I60" i="157"/>
  <c r="H60" i="157"/>
  <c r="G60" i="157"/>
  <c r="F60" i="157"/>
  <c r="E60" i="157"/>
  <c r="R59" i="157"/>
  <c r="Q59" i="157"/>
  <c r="P59" i="157"/>
  <c r="O59" i="157"/>
  <c r="N59" i="157"/>
  <c r="M59" i="157"/>
  <c r="L59" i="157"/>
  <c r="K59" i="157"/>
  <c r="J59" i="157"/>
  <c r="I59" i="157"/>
  <c r="H59" i="157"/>
  <c r="G59" i="157"/>
  <c r="F59" i="157"/>
  <c r="E59" i="157"/>
  <c r="R58" i="157"/>
  <c r="Q58" i="157"/>
  <c r="P58" i="157"/>
  <c r="O58" i="157"/>
  <c r="N58" i="157"/>
  <c r="M58" i="157"/>
  <c r="L58" i="157"/>
  <c r="K58" i="157"/>
  <c r="J58" i="157"/>
  <c r="I58" i="157"/>
  <c r="H58" i="157"/>
  <c r="G58" i="157"/>
  <c r="F58" i="157"/>
  <c r="E58" i="157"/>
  <c r="R57" i="157"/>
  <c r="Q57" i="157"/>
  <c r="P57" i="157"/>
  <c r="O57" i="157"/>
  <c r="N57" i="157"/>
  <c r="M57" i="157"/>
  <c r="L57" i="157"/>
  <c r="K57" i="157"/>
  <c r="J57" i="157"/>
  <c r="I57" i="157"/>
  <c r="H57" i="157"/>
  <c r="G57" i="157"/>
  <c r="F57" i="157"/>
  <c r="E57" i="157"/>
  <c r="R56" i="157"/>
  <c r="Q56" i="157"/>
  <c r="P56" i="157"/>
  <c r="O56" i="157"/>
  <c r="N56" i="157"/>
  <c r="M56" i="157"/>
  <c r="L56" i="157"/>
  <c r="K56" i="157"/>
  <c r="J56" i="157"/>
  <c r="I56" i="157"/>
  <c r="H56" i="157"/>
  <c r="G56" i="157"/>
  <c r="F56" i="157"/>
  <c r="E56" i="157"/>
  <c r="R55" i="157"/>
  <c r="Q55" i="157"/>
  <c r="P55" i="157"/>
  <c r="O55" i="157"/>
  <c r="N55" i="157"/>
  <c r="M55" i="157"/>
  <c r="L55" i="157"/>
  <c r="K55" i="157"/>
  <c r="J55" i="157"/>
  <c r="I55" i="157"/>
  <c r="H55" i="157"/>
  <c r="G55" i="157"/>
  <c r="F55" i="157"/>
  <c r="E55" i="157"/>
  <c r="R54" i="157"/>
  <c r="Q54" i="157"/>
  <c r="P54" i="157"/>
  <c r="O54" i="157"/>
  <c r="N54" i="157"/>
  <c r="M54" i="157"/>
  <c r="L54" i="157"/>
  <c r="K54" i="157"/>
  <c r="J54" i="157"/>
  <c r="I54" i="157"/>
  <c r="H54" i="157"/>
  <c r="G54" i="157"/>
  <c r="F54" i="157"/>
  <c r="E54" i="157"/>
  <c r="R53" i="157"/>
  <c r="Q53" i="157"/>
  <c r="P53" i="157"/>
  <c r="O53" i="157"/>
  <c r="N53" i="157"/>
  <c r="M53" i="157"/>
  <c r="L53" i="157"/>
  <c r="K53" i="157"/>
  <c r="J53" i="157"/>
  <c r="I53" i="157"/>
  <c r="H53" i="157"/>
  <c r="G53" i="157"/>
  <c r="F53" i="157"/>
  <c r="E53" i="157"/>
  <c r="R52" i="157"/>
  <c r="Q52" i="157"/>
  <c r="P52" i="157"/>
  <c r="O52" i="157"/>
  <c r="N52" i="157"/>
  <c r="M52" i="157"/>
  <c r="L52" i="157"/>
  <c r="K52" i="157"/>
  <c r="J52" i="157"/>
  <c r="I52" i="157"/>
  <c r="H52" i="157"/>
  <c r="G52" i="157"/>
  <c r="F52" i="157"/>
  <c r="E52" i="157"/>
  <c r="R51" i="157"/>
  <c r="Q51" i="157"/>
  <c r="P51" i="157"/>
  <c r="O51" i="157"/>
  <c r="N51" i="157"/>
  <c r="M51" i="157"/>
  <c r="L51" i="157"/>
  <c r="K51" i="157"/>
  <c r="J51" i="157"/>
  <c r="I51" i="157"/>
  <c r="H51" i="157"/>
  <c r="G51" i="157"/>
  <c r="F51" i="157"/>
  <c r="E51" i="157"/>
  <c r="R50" i="157"/>
  <c r="Q50" i="157"/>
  <c r="P50" i="157"/>
  <c r="O50" i="157"/>
  <c r="N50" i="157"/>
  <c r="M50" i="157"/>
  <c r="L50" i="157"/>
  <c r="K50" i="157"/>
  <c r="J50" i="157"/>
  <c r="I50" i="157"/>
  <c r="H50" i="157"/>
  <c r="G50" i="157"/>
  <c r="F50" i="157"/>
  <c r="E50" i="157"/>
  <c r="R49" i="157"/>
  <c r="Q49" i="157"/>
  <c r="P49" i="157"/>
  <c r="O49" i="157"/>
  <c r="N49" i="157"/>
  <c r="M49" i="157"/>
  <c r="L49" i="157"/>
  <c r="K49" i="157"/>
  <c r="J49" i="157"/>
  <c r="I49" i="157"/>
  <c r="H49" i="157"/>
  <c r="G49" i="157"/>
  <c r="F49" i="157"/>
  <c r="E49" i="157"/>
  <c r="R48" i="157"/>
  <c r="Q48" i="157"/>
  <c r="P48" i="157"/>
  <c r="O48" i="157"/>
  <c r="N48" i="157"/>
  <c r="M48" i="157"/>
  <c r="L48" i="157"/>
  <c r="K48" i="157"/>
  <c r="J48" i="157"/>
  <c r="I48" i="157"/>
  <c r="H48" i="157"/>
  <c r="G48" i="157"/>
  <c r="F48" i="157"/>
  <c r="E48" i="157"/>
  <c r="R47" i="157"/>
  <c r="Q47" i="157"/>
  <c r="P47" i="157"/>
  <c r="O47" i="157"/>
  <c r="N47" i="157"/>
  <c r="M47" i="157"/>
  <c r="L47" i="157"/>
  <c r="K47" i="157"/>
  <c r="J47" i="157"/>
  <c r="I47" i="157"/>
  <c r="H47" i="157"/>
  <c r="G47" i="157"/>
  <c r="F47" i="157"/>
  <c r="E47" i="157"/>
  <c r="R46" i="157"/>
  <c r="Q46" i="157"/>
  <c r="P46" i="157"/>
  <c r="O46" i="157"/>
  <c r="N46" i="157"/>
  <c r="M46" i="157"/>
  <c r="L46" i="157"/>
  <c r="K46" i="157"/>
  <c r="J46" i="157"/>
  <c r="I46" i="157"/>
  <c r="H46" i="157"/>
  <c r="G46" i="157"/>
  <c r="F46" i="157"/>
  <c r="E46" i="157"/>
  <c r="R45" i="157"/>
  <c r="Q45" i="157"/>
  <c r="P45" i="157"/>
  <c r="O45" i="157"/>
  <c r="N45" i="157"/>
  <c r="M45" i="157"/>
  <c r="L45" i="157"/>
  <c r="K45" i="157"/>
  <c r="J45" i="157"/>
  <c r="I45" i="157"/>
  <c r="H45" i="157"/>
  <c r="G45" i="157"/>
  <c r="F45" i="157"/>
  <c r="E45" i="157"/>
  <c r="R44" i="157"/>
  <c r="Q44" i="157"/>
  <c r="P44" i="157"/>
  <c r="O44" i="157"/>
  <c r="N44" i="157"/>
  <c r="M44" i="157"/>
  <c r="L44" i="157"/>
  <c r="K44" i="157"/>
  <c r="J44" i="157"/>
  <c r="I44" i="157"/>
  <c r="H44" i="157"/>
  <c r="G44" i="157"/>
  <c r="F44" i="157"/>
  <c r="E44" i="157"/>
  <c r="R41" i="157"/>
  <c r="Q41" i="157"/>
  <c r="P41" i="157"/>
  <c r="O41" i="157"/>
  <c r="N41" i="157"/>
  <c r="M41" i="157"/>
  <c r="L41" i="157"/>
  <c r="K41" i="157"/>
  <c r="J41" i="157"/>
  <c r="I41" i="157"/>
  <c r="H41" i="157"/>
  <c r="G41" i="157"/>
  <c r="F41" i="157"/>
  <c r="E41" i="157"/>
  <c r="R39" i="157"/>
  <c r="Q39" i="157"/>
  <c r="P39" i="157"/>
  <c r="O39" i="157"/>
  <c r="N39" i="157"/>
  <c r="M39" i="157"/>
  <c r="L39" i="157"/>
  <c r="K39" i="157"/>
  <c r="J39" i="157"/>
  <c r="I39" i="157"/>
  <c r="H39" i="157"/>
  <c r="G39" i="157"/>
  <c r="F39" i="157"/>
  <c r="E39" i="157"/>
  <c r="R38" i="157"/>
  <c r="Q38" i="157"/>
  <c r="P38" i="157"/>
  <c r="O38" i="157"/>
  <c r="N38" i="157"/>
  <c r="M38" i="157"/>
  <c r="L38" i="157"/>
  <c r="K38" i="157"/>
  <c r="J38" i="157"/>
  <c r="I38" i="157"/>
  <c r="H38" i="157"/>
  <c r="G38" i="157"/>
  <c r="F38" i="157"/>
  <c r="E38" i="157"/>
  <c r="R37" i="157"/>
  <c r="Q37" i="157"/>
  <c r="P37" i="157"/>
  <c r="O37" i="157"/>
  <c r="N37" i="157"/>
  <c r="M37" i="157"/>
  <c r="L37" i="157"/>
  <c r="K37" i="157"/>
  <c r="J37" i="157"/>
  <c r="I37" i="157"/>
  <c r="H37" i="157"/>
  <c r="G37" i="157"/>
  <c r="F37" i="157"/>
  <c r="E37" i="157"/>
  <c r="R36" i="157"/>
  <c r="Q36" i="157"/>
  <c r="P36" i="157"/>
  <c r="O36" i="157"/>
  <c r="N36" i="157"/>
  <c r="M36" i="157"/>
  <c r="L36" i="157"/>
  <c r="K36" i="157"/>
  <c r="J36" i="157"/>
  <c r="I36" i="157"/>
  <c r="H36" i="157"/>
  <c r="G36" i="157"/>
  <c r="F36" i="157"/>
  <c r="E36" i="157"/>
  <c r="R35" i="157"/>
  <c r="Q35" i="157"/>
  <c r="P35" i="157"/>
  <c r="O35" i="157"/>
  <c r="N35" i="157"/>
  <c r="M35" i="157"/>
  <c r="L35" i="157"/>
  <c r="K35" i="157"/>
  <c r="J35" i="157"/>
  <c r="I35" i="157"/>
  <c r="H35" i="157"/>
  <c r="G35" i="157"/>
  <c r="F35" i="157"/>
  <c r="E35" i="157"/>
  <c r="R32" i="157"/>
  <c r="Q32" i="157"/>
  <c r="P32" i="157"/>
  <c r="O32" i="157"/>
  <c r="N32" i="157"/>
  <c r="M32" i="157"/>
  <c r="L32" i="157"/>
  <c r="K32" i="157"/>
  <c r="J32" i="157"/>
  <c r="I32" i="157"/>
  <c r="H32" i="157"/>
  <c r="G32" i="157"/>
  <c r="F32" i="157"/>
  <c r="E32" i="157"/>
  <c r="R31" i="157"/>
  <c r="Q31" i="157"/>
  <c r="P31" i="157"/>
  <c r="O31" i="157"/>
  <c r="N31" i="157"/>
  <c r="M31" i="157"/>
  <c r="L31" i="157"/>
  <c r="K31" i="157"/>
  <c r="J31" i="157"/>
  <c r="I31" i="157"/>
  <c r="H31" i="157"/>
  <c r="G31" i="157"/>
  <c r="F31" i="157"/>
  <c r="E31" i="157"/>
  <c r="R30" i="157"/>
  <c r="Q30" i="157"/>
  <c r="P30" i="157"/>
  <c r="O30" i="157"/>
  <c r="N30" i="157"/>
  <c r="M30" i="157"/>
  <c r="L30" i="157"/>
  <c r="K30" i="157"/>
  <c r="J30" i="157"/>
  <c r="I30" i="157"/>
  <c r="H30" i="157"/>
  <c r="G30" i="157"/>
  <c r="F30" i="157"/>
  <c r="E30" i="157"/>
  <c r="R29" i="157"/>
  <c r="Q29" i="157"/>
  <c r="P29" i="157"/>
  <c r="O29" i="157"/>
  <c r="N29" i="157"/>
  <c r="M29" i="157"/>
  <c r="L29" i="157"/>
  <c r="K29" i="157"/>
  <c r="J29" i="157"/>
  <c r="I29" i="157"/>
  <c r="H29" i="157"/>
  <c r="G29" i="157"/>
  <c r="F29" i="157"/>
  <c r="E29" i="157"/>
  <c r="R28" i="157"/>
  <c r="Q28" i="157"/>
  <c r="P28" i="157"/>
  <c r="O28" i="157"/>
  <c r="N28" i="157"/>
  <c r="M28" i="157"/>
  <c r="L28" i="157"/>
  <c r="K28" i="157"/>
  <c r="J28" i="157"/>
  <c r="I28" i="157"/>
  <c r="H28" i="157"/>
  <c r="G28" i="157"/>
  <c r="F28" i="157"/>
  <c r="E28" i="157"/>
  <c r="R27" i="157"/>
  <c r="Q27" i="157"/>
  <c r="P27" i="157"/>
  <c r="O27" i="157"/>
  <c r="N27" i="157"/>
  <c r="M27" i="157"/>
  <c r="L27" i="157"/>
  <c r="K27" i="157"/>
  <c r="J27" i="157"/>
  <c r="I27" i="157"/>
  <c r="H27" i="157"/>
  <c r="G27" i="157"/>
  <c r="F27" i="157"/>
  <c r="E27" i="157"/>
  <c r="R26" i="157"/>
  <c r="Q26" i="157"/>
  <c r="P26" i="157"/>
  <c r="O26" i="157"/>
  <c r="N26" i="157"/>
  <c r="M26" i="157"/>
  <c r="L26" i="157"/>
  <c r="K26" i="157"/>
  <c r="J26" i="157"/>
  <c r="I26" i="157"/>
  <c r="H26" i="157"/>
  <c r="G26" i="157"/>
  <c r="F26" i="157"/>
  <c r="E26" i="157"/>
  <c r="R23" i="157"/>
  <c r="Q23" i="157"/>
  <c r="P23" i="157"/>
  <c r="O23" i="157"/>
  <c r="N23" i="157"/>
  <c r="M23" i="157"/>
  <c r="L23" i="157"/>
  <c r="K23" i="157"/>
  <c r="J23" i="157"/>
  <c r="I23" i="157"/>
  <c r="H23" i="157"/>
  <c r="G23" i="157"/>
  <c r="F23" i="157"/>
  <c r="E23" i="157"/>
  <c r="R22" i="157"/>
  <c r="Q22" i="157"/>
  <c r="P22" i="157"/>
  <c r="O22" i="157"/>
  <c r="N22" i="157"/>
  <c r="M22" i="157"/>
  <c r="L22" i="157"/>
  <c r="K22" i="157"/>
  <c r="J22" i="157"/>
  <c r="I22" i="157"/>
  <c r="H22" i="157"/>
  <c r="G22" i="157"/>
  <c r="F22" i="157"/>
  <c r="E22" i="157"/>
  <c r="R21" i="157"/>
  <c r="Q21" i="157"/>
  <c r="P21" i="157"/>
  <c r="O21" i="157"/>
  <c r="N21" i="157"/>
  <c r="M21" i="157"/>
  <c r="L21" i="157"/>
  <c r="K21" i="157"/>
  <c r="J21" i="157"/>
  <c r="I21" i="157"/>
  <c r="H21" i="157"/>
  <c r="G21" i="157"/>
  <c r="F21" i="157"/>
  <c r="E21" i="157"/>
  <c r="R20" i="157"/>
  <c r="Q20" i="157"/>
  <c r="P20" i="157"/>
  <c r="O20" i="157"/>
  <c r="N20" i="157"/>
  <c r="M20" i="157"/>
  <c r="L20" i="157"/>
  <c r="K20" i="157"/>
  <c r="J20" i="157"/>
  <c r="I20" i="157"/>
  <c r="H20" i="157"/>
  <c r="G20" i="157"/>
  <c r="F20" i="157"/>
  <c r="E20" i="157"/>
  <c r="R19" i="157"/>
  <c r="Q19" i="157"/>
  <c r="P19" i="157"/>
  <c r="O19" i="157"/>
  <c r="N19" i="157"/>
  <c r="M19" i="157"/>
  <c r="L19" i="157"/>
  <c r="K19" i="157"/>
  <c r="J19" i="157"/>
  <c r="I19" i="157"/>
  <c r="H19" i="157"/>
  <c r="G19" i="157"/>
  <c r="F19" i="157"/>
  <c r="E19" i="157"/>
  <c r="R18" i="157"/>
  <c r="Q18" i="157"/>
  <c r="P18" i="157"/>
  <c r="O18" i="157"/>
  <c r="N18" i="157"/>
  <c r="M18" i="157"/>
  <c r="L18" i="157"/>
  <c r="K18" i="157"/>
  <c r="J18" i="157"/>
  <c r="I18" i="157"/>
  <c r="H18" i="157"/>
  <c r="G18" i="157"/>
  <c r="F18" i="157"/>
  <c r="E18" i="157"/>
  <c r="R17" i="157"/>
  <c r="Q17" i="157"/>
  <c r="P17" i="157"/>
  <c r="O17" i="157"/>
  <c r="N17" i="157"/>
  <c r="M17" i="157"/>
  <c r="L17" i="157"/>
  <c r="K17" i="157"/>
  <c r="J17" i="157"/>
  <c r="I17" i="157"/>
  <c r="H17" i="157"/>
  <c r="G17" i="157"/>
  <c r="F17" i="157"/>
  <c r="E17" i="157"/>
  <c r="R14" i="157"/>
  <c r="Q14" i="157"/>
  <c r="P14" i="157"/>
  <c r="O14" i="157"/>
  <c r="N14" i="157"/>
  <c r="M14" i="157"/>
  <c r="L14" i="157"/>
  <c r="K14" i="157"/>
  <c r="J14" i="157"/>
  <c r="I14" i="157"/>
  <c r="H14" i="157"/>
  <c r="G14" i="157"/>
  <c r="F14" i="157"/>
  <c r="E14" i="157"/>
  <c r="R13" i="157"/>
  <c r="Q13" i="157"/>
  <c r="P13" i="157"/>
  <c r="O13" i="157"/>
  <c r="N13" i="157"/>
  <c r="M13" i="157"/>
  <c r="L13" i="157"/>
  <c r="K13" i="157"/>
  <c r="J13" i="157"/>
  <c r="I13" i="157"/>
  <c r="H13" i="157"/>
  <c r="G13" i="157"/>
  <c r="F13" i="157"/>
  <c r="E13" i="157"/>
  <c r="R12" i="157"/>
  <c r="Q12" i="157"/>
  <c r="P12" i="157"/>
  <c r="O12" i="157"/>
  <c r="N12" i="157"/>
  <c r="M12" i="157"/>
  <c r="L12" i="157"/>
  <c r="K12" i="157"/>
  <c r="J12" i="157"/>
  <c r="I12" i="157"/>
  <c r="H12" i="157"/>
  <c r="G12" i="157"/>
  <c r="F12" i="157"/>
  <c r="E12" i="157"/>
  <c r="R11" i="157"/>
  <c r="Q11" i="157"/>
  <c r="P11" i="157"/>
  <c r="O11" i="157"/>
  <c r="N11" i="157"/>
  <c r="M11" i="157"/>
  <c r="L11" i="157"/>
  <c r="K11" i="157"/>
  <c r="J11" i="157"/>
  <c r="I11" i="157"/>
  <c r="H11" i="157"/>
  <c r="G11" i="157"/>
  <c r="F11" i="157"/>
  <c r="E11" i="157"/>
  <c r="R10" i="157"/>
  <c r="Q10" i="157"/>
  <c r="P10" i="157"/>
  <c r="O10" i="157"/>
  <c r="N10" i="157"/>
  <c r="M10" i="157"/>
  <c r="L10" i="157"/>
  <c r="K10" i="157"/>
  <c r="J10" i="157"/>
  <c r="I10" i="157"/>
  <c r="H10" i="157"/>
  <c r="G10" i="157"/>
  <c r="F10" i="157"/>
  <c r="E10" i="157"/>
  <c r="R9" i="157"/>
  <c r="Q9" i="157"/>
  <c r="P9" i="157"/>
  <c r="O9" i="157"/>
  <c r="N9" i="157"/>
  <c r="M9" i="157"/>
  <c r="L9" i="157"/>
  <c r="K9" i="157"/>
  <c r="J9" i="157"/>
  <c r="I9" i="157"/>
  <c r="H9" i="157"/>
  <c r="G9" i="157"/>
  <c r="F9" i="157"/>
  <c r="E9" i="157"/>
  <c r="Q2" i="157"/>
  <c r="I2" i="156"/>
  <c r="I25" i="156"/>
  <c r="I23" i="156"/>
  <c r="I24" i="156"/>
  <c r="I7" i="156"/>
  <c r="I46" i="156"/>
  <c r="I45" i="156"/>
  <c r="I44" i="156"/>
  <c r="I43" i="156"/>
  <c r="I42" i="156"/>
  <c r="I41" i="156"/>
  <c r="I40" i="156"/>
  <c r="I39" i="156"/>
  <c r="I38" i="156"/>
  <c r="I34" i="156"/>
  <c r="I33" i="156"/>
  <c r="I32" i="156"/>
  <c r="I31" i="156"/>
  <c r="I30" i="156"/>
  <c r="I29" i="156"/>
  <c r="I18" i="156"/>
  <c r="I17" i="156"/>
  <c r="I16" i="156"/>
  <c r="I13" i="156"/>
  <c r="I12" i="156"/>
  <c r="I9" i="156"/>
  <c r="H9" i="156"/>
  <c r="I6" i="156"/>
  <c r="H6" i="156"/>
  <c r="G31" i="137"/>
  <c r="G37" i="137"/>
  <c r="G2" i="155"/>
  <c r="M38" i="119"/>
  <c r="M37" i="119"/>
  <c r="M36" i="119"/>
  <c r="M35" i="119"/>
  <c r="K31" i="119" l="1"/>
  <c r="K28" i="119"/>
  <c r="K24" i="119"/>
  <c r="K23" i="119"/>
  <c r="K22" i="119"/>
  <c r="K21" i="119"/>
  <c r="K17" i="119"/>
  <c r="K16" i="119"/>
  <c r="K15" i="119"/>
  <c r="K18" i="119" l="1"/>
  <c r="I14" i="133" l="1"/>
  <c r="I10" i="133"/>
  <c r="H42" i="154"/>
  <c r="H41" i="154"/>
  <c r="H40" i="154"/>
  <c r="H39" i="154"/>
  <c r="H38" i="154"/>
  <c r="I22" i="154"/>
  <c r="I21" i="154"/>
  <c r="I20" i="154"/>
  <c r="I19" i="154"/>
  <c r="I23" i="154" l="1"/>
  <c r="S2" i="154"/>
  <c r="Q2" i="150"/>
  <c r="G50" i="152"/>
  <c r="G49" i="152"/>
  <c r="L48" i="152"/>
  <c r="L47" i="152"/>
  <c r="G48" i="152"/>
  <c r="F48" i="152"/>
  <c r="G47" i="152"/>
  <c r="F47" i="152"/>
  <c r="K40" i="152"/>
  <c r="J40" i="152"/>
  <c r="I40" i="152"/>
  <c r="H40" i="152"/>
  <c r="G40" i="152"/>
  <c r="F40" i="152"/>
  <c r="K39" i="152"/>
  <c r="J39" i="152"/>
  <c r="I39" i="152"/>
  <c r="H39" i="152"/>
  <c r="G39" i="152"/>
  <c r="F39" i="152"/>
  <c r="K38" i="152"/>
  <c r="J38" i="152"/>
  <c r="I38" i="152"/>
  <c r="H38" i="152"/>
  <c r="G38" i="152"/>
  <c r="F38" i="152"/>
  <c r="K37" i="152"/>
  <c r="J37" i="152"/>
  <c r="I37" i="152"/>
  <c r="H37" i="152"/>
  <c r="G37" i="152"/>
  <c r="F37" i="152"/>
  <c r="K33" i="152"/>
  <c r="J33" i="152"/>
  <c r="I33" i="152"/>
  <c r="H33" i="152"/>
  <c r="G33" i="152"/>
  <c r="F33" i="152"/>
  <c r="K32" i="152"/>
  <c r="J32" i="152"/>
  <c r="I32" i="152"/>
  <c r="H32" i="152"/>
  <c r="G32" i="152"/>
  <c r="F32" i="152"/>
  <c r="K31" i="152"/>
  <c r="J31" i="152"/>
  <c r="I31" i="152"/>
  <c r="H31" i="152"/>
  <c r="G31" i="152"/>
  <c r="F31" i="152"/>
  <c r="K30" i="152"/>
  <c r="J30" i="152"/>
  <c r="I30" i="152"/>
  <c r="H30" i="152"/>
  <c r="G30" i="152"/>
  <c r="F30" i="152"/>
  <c r="M26" i="152"/>
  <c r="L26" i="152"/>
  <c r="M25" i="152"/>
  <c r="L25" i="152"/>
  <c r="M24" i="152"/>
  <c r="L24" i="152"/>
  <c r="F26" i="152"/>
  <c r="F25" i="152"/>
  <c r="F24" i="152"/>
  <c r="K19" i="152"/>
  <c r="J19" i="152"/>
  <c r="I19" i="152"/>
  <c r="H19" i="152"/>
  <c r="G19" i="152"/>
  <c r="F19" i="152"/>
  <c r="K18" i="152"/>
  <c r="J18" i="152"/>
  <c r="I18" i="152"/>
  <c r="H18" i="152"/>
  <c r="G18" i="152"/>
  <c r="F18" i="152"/>
  <c r="K17" i="152"/>
  <c r="J17" i="152"/>
  <c r="I17" i="152"/>
  <c r="H17" i="152"/>
  <c r="G17" i="152"/>
  <c r="F17" i="152"/>
  <c r="K13" i="152"/>
  <c r="J13" i="152"/>
  <c r="I13" i="152"/>
  <c r="H13" i="152"/>
  <c r="G13" i="152"/>
  <c r="F13" i="152"/>
  <c r="K12" i="152"/>
  <c r="J12" i="152"/>
  <c r="I12" i="152"/>
  <c r="H12" i="152"/>
  <c r="G12" i="152"/>
  <c r="F12" i="152"/>
  <c r="K11" i="152"/>
  <c r="J11" i="152"/>
  <c r="I11" i="152"/>
  <c r="H11" i="152"/>
  <c r="G11" i="152"/>
  <c r="F11" i="152"/>
  <c r="M6" i="152"/>
  <c r="L6" i="152"/>
  <c r="M5" i="152"/>
  <c r="L5" i="152"/>
  <c r="G7" i="152"/>
  <c r="G6" i="152"/>
  <c r="G5" i="152"/>
  <c r="F7" i="152"/>
  <c r="F6" i="152"/>
  <c r="F5" i="152"/>
  <c r="F47" i="154"/>
  <c r="Q54" i="154"/>
  <c r="F54" i="154"/>
  <c r="Q53" i="154"/>
  <c r="F53" i="154"/>
  <c r="Q52" i="154"/>
  <c r="F52" i="154"/>
  <c r="Q51" i="154"/>
  <c r="F51" i="154"/>
  <c r="Q50" i="154"/>
  <c r="F50" i="154"/>
  <c r="Q49" i="154"/>
  <c r="F49" i="154"/>
  <c r="Q48" i="154"/>
  <c r="F48" i="154"/>
  <c r="Q47" i="154"/>
  <c r="G43" i="154"/>
  <c r="G42" i="154"/>
  <c r="G41" i="154"/>
  <c r="G40" i="154"/>
  <c r="G39" i="154"/>
  <c r="X38" i="154"/>
  <c r="F43" i="154" s="1"/>
  <c r="G38" i="154"/>
  <c r="O33" i="154"/>
  <c r="N33" i="154"/>
  <c r="M33" i="154"/>
  <c r="L33" i="154"/>
  <c r="K33" i="154"/>
  <c r="J33" i="154"/>
  <c r="I33" i="154"/>
  <c r="H33" i="154"/>
  <c r="G33" i="154"/>
  <c r="F33" i="154"/>
  <c r="O32" i="154"/>
  <c r="N32" i="154"/>
  <c r="M32" i="154"/>
  <c r="L32" i="154"/>
  <c r="K32" i="154"/>
  <c r="J32" i="154"/>
  <c r="I32" i="154"/>
  <c r="H32" i="154"/>
  <c r="G32" i="154"/>
  <c r="F32" i="154"/>
  <c r="O31" i="154"/>
  <c r="N31" i="154"/>
  <c r="M31" i="154"/>
  <c r="L31" i="154"/>
  <c r="K31" i="154"/>
  <c r="J31" i="154"/>
  <c r="I31" i="154"/>
  <c r="H31" i="154"/>
  <c r="G31" i="154"/>
  <c r="F31" i="154"/>
  <c r="O30" i="154"/>
  <c r="N30" i="154"/>
  <c r="M30" i="154"/>
  <c r="L30" i="154"/>
  <c r="K30" i="154"/>
  <c r="J30" i="154"/>
  <c r="I30" i="154"/>
  <c r="H30" i="154"/>
  <c r="G30" i="154"/>
  <c r="F30" i="154"/>
  <c r="O29" i="154"/>
  <c r="N29" i="154"/>
  <c r="M29" i="154"/>
  <c r="L29" i="154"/>
  <c r="K29" i="154"/>
  <c r="J29" i="154"/>
  <c r="I29" i="154"/>
  <c r="H29" i="154"/>
  <c r="G29" i="154"/>
  <c r="F29" i="154"/>
  <c r="H23" i="154"/>
  <c r="G23" i="154"/>
  <c r="F23" i="154"/>
  <c r="E23" i="154"/>
  <c r="H22" i="154"/>
  <c r="G22" i="154"/>
  <c r="F22" i="154"/>
  <c r="E22" i="154"/>
  <c r="H21" i="154"/>
  <c r="G21" i="154"/>
  <c r="F21" i="154"/>
  <c r="E21" i="154"/>
  <c r="H20" i="154"/>
  <c r="G20" i="154"/>
  <c r="F20" i="154"/>
  <c r="E20" i="154"/>
  <c r="Q19" i="154"/>
  <c r="H19" i="154"/>
  <c r="G19" i="154"/>
  <c r="F19" i="154"/>
  <c r="E19" i="154"/>
  <c r="Q13" i="154"/>
  <c r="P13" i="154"/>
  <c r="O13" i="154"/>
  <c r="N13" i="154"/>
  <c r="M13" i="154"/>
  <c r="L13" i="154"/>
  <c r="K13" i="154"/>
  <c r="J13" i="154"/>
  <c r="I13" i="154"/>
  <c r="H13" i="154"/>
  <c r="G13" i="154"/>
  <c r="F13" i="154"/>
  <c r="E13" i="154"/>
  <c r="Q9" i="154"/>
  <c r="P9" i="154"/>
  <c r="O9" i="154"/>
  <c r="N9" i="154"/>
  <c r="M9" i="154"/>
  <c r="L9" i="154"/>
  <c r="K9" i="154"/>
  <c r="J9" i="154"/>
  <c r="I9" i="154"/>
  <c r="H9" i="154"/>
  <c r="G9" i="154"/>
  <c r="F9" i="154"/>
  <c r="E9" i="154"/>
  <c r="Q7" i="154"/>
  <c r="P7" i="154"/>
  <c r="O7" i="154"/>
  <c r="N7" i="154"/>
  <c r="M7" i="154"/>
  <c r="L7" i="154"/>
  <c r="K7" i="154"/>
  <c r="J7" i="154"/>
  <c r="I7" i="154"/>
  <c r="H7" i="154"/>
  <c r="G7" i="154"/>
  <c r="F7" i="154"/>
  <c r="E7" i="154"/>
  <c r="Q6" i="154"/>
  <c r="P6" i="154"/>
  <c r="O6" i="154"/>
  <c r="N6" i="154"/>
  <c r="M6" i="154"/>
  <c r="L6" i="154"/>
  <c r="K6" i="154"/>
  <c r="J6" i="154"/>
  <c r="I6" i="154"/>
  <c r="H6" i="154"/>
  <c r="G6" i="154"/>
  <c r="F6" i="154"/>
  <c r="E6" i="154"/>
  <c r="Q5" i="154"/>
  <c r="P5" i="154"/>
  <c r="O5" i="154"/>
  <c r="N5" i="154"/>
  <c r="M5" i="154"/>
  <c r="L5" i="154"/>
  <c r="K5" i="154"/>
  <c r="J5" i="154"/>
  <c r="I5" i="154"/>
  <c r="H5" i="154"/>
  <c r="G5" i="154"/>
  <c r="F5" i="154"/>
  <c r="E5" i="154"/>
  <c r="F40" i="154" l="1"/>
  <c r="F42" i="154"/>
  <c r="F38" i="154"/>
  <c r="F39" i="154"/>
  <c r="F41" i="154"/>
  <c r="S2" i="152" l="1"/>
  <c r="M14" i="147" l="1"/>
  <c r="M32" i="147" l="1"/>
  <c r="M31" i="147"/>
  <c r="M30" i="147"/>
  <c r="M29" i="147"/>
  <c r="N26" i="147"/>
  <c r="N24" i="147"/>
  <c r="M23" i="147"/>
  <c r="N19" i="147"/>
  <c r="N18" i="147"/>
  <c r="M16" i="147"/>
  <c r="F26" i="150"/>
  <c r="E26" i="150"/>
  <c r="G5" i="150"/>
  <c r="F15" i="145" l="1"/>
  <c r="F14" i="145"/>
  <c r="F13" i="145"/>
  <c r="F12" i="145"/>
  <c r="F11" i="145"/>
  <c r="F10" i="145"/>
  <c r="F9" i="145"/>
  <c r="F8" i="145"/>
  <c r="F7" i="145"/>
  <c r="F6" i="145"/>
  <c r="F5" i="145"/>
  <c r="F4" i="145"/>
  <c r="I45" i="146"/>
  <c r="I49" i="146"/>
  <c r="I52" i="146"/>
  <c r="I51" i="146"/>
  <c r="I48" i="146"/>
  <c r="I47" i="146"/>
  <c r="I46" i="146"/>
  <c r="I44" i="146"/>
  <c r="I43" i="146"/>
  <c r="I36" i="146"/>
  <c r="I35" i="146"/>
  <c r="I29" i="146"/>
  <c r="I28" i="146"/>
  <c r="I27" i="146"/>
  <c r="I26" i="146"/>
  <c r="I25" i="146"/>
  <c r="I24" i="146"/>
  <c r="I23" i="146"/>
  <c r="I21" i="146"/>
  <c r="I19" i="146"/>
  <c r="G29" i="137" l="1"/>
  <c r="G27" i="137"/>
  <c r="G22" i="137"/>
  <c r="G21" i="137"/>
  <c r="G20" i="137"/>
  <c r="G19" i="137"/>
  <c r="G18" i="137"/>
  <c r="G16" i="137"/>
  <c r="G15" i="137"/>
  <c r="G14" i="137"/>
  <c r="G13" i="137"/>
  <c r="G12" i="137"/>
  <c r="G11" i="137"/>
  <c r="G10" i="137"/>
  <c r="G9" i="137"/>
  <c r="G8" i="137"/>
  <c r="G7" i="137"/>
  <c r="G6" i="137"/>
  <c r="G5" i="137"/>
  <c r="G4" i="137"/>
  <c r="I61" i="125"/>
  <c r="I54" i="125"/>
  <c r="I60" i="125"/>
  <c r="I59" i="125"/>
  <c r="I58" i="125"/>
  <c r="I57" i="125"/>
  <c r="I56" i="125"/>
  <c r="I55" i="125"/>
  <c r="I53" i="125"/>
  <c r="I52" i="125"/>
  <c r="I51" i="125"/>
  <c r="I50" i="125"/>
  <c r="I49" i="125"/>
  <c r="I48" i="125"/>
  <c r="Q11" i="150"/>
  <c r="Q10" i="150"/>
  <c r="Q9" i="150"/>
  <c r="Q8" i="150"/>
  <c r="Q7" i="150"/>
  <c r="Q6" i="150"/>
  <c r="Q5" i="150"/>
  <c r="P11" i="150"/>
  <c r="P10" i="150"/>
  <c r="P9" i="150"/>
  <c r="P8" i="150"/>
  <c r="P7" i="150"/>
  <c r="P6" i="150"/>
  <c r="P5" i="150"/>
  <c r="O11" i="150"/>
  <c r="O10" i="150"/>
  <c r="O9" i="150"/>
  <c r="O8" i="150"/>
  <c r="O7" i="150"/>
  <c r="O6" i="150"/>
  <c r="O5" i="150"/>
  <c r="N11" i="150"/>
  <c r="N10" i="150"/>
  <c r="N9" i="150"/>
  <c r="N8" i="150"/>
  <c r="N7" i="150"/>
  <c r="N6" i="150"/>
  <c r="N5" i="150"/>
  <c r="M11" i="150"/>
  <c r="M10" i="150"/>
  <c r="M9" i="150"/>
  <c r="M8" i="150"/>
  <c r="M7" i="150"/>
  <c r="M6" i="150"/>
  <c r="M5" i="150"/>
  <c r="L11" i="150"/>
  <c r="L10" i="150"/>
  <c r="L9" i="150"/>
  <c r="L8" i="150"/>
  <c r="L7" i="150"/>
  <c r="L6" i="150"/>
  <c r="L5" i="150"/>
  <c r="K11" i="150"/>
  <c r="K10" i="150"/>
  <c r="K9" i="150"/>
  <c r="K8" i="150"/>
  <c r="K7" i="150"/>
  <c r="K6" i="150"/>
  <c r="K5" i="150"/>
  <c r="J5" i="150"/>
  <c r="J13" i="150"/>
  <c r="I13" i="150"/>
  <c r="J11" i="150"/>
  <c r="J10" i="150"/>
  <c r="J9" i="150"/>
  <c r="J8" i="150"/>
  <c r="J7" i="150"/>
  <c r="J6" i="150"/>
  <c r="I5" i="150"/>
  <c r="H13" i="150"/>
  <c r="G13" i="150"/>
  <c r="F13" i="150"/>
  <c r="I11" i="150"/>
  <c r="I10" i="150"/>
  <c r="I9" i="150"/>
  <c r="I8" i="150"/>
  <c r="I7" i="150"/>
  <c r="I6" i="150"/>
  <c r="H11" i="150"/>
  <c r="H10" i="150"/>
  <c r="H9" i="150"/>
  <c r="H8" i="150"/>
  <c r="H7" i="150"/>
  <c r="H6" i="150"/>
  <c r="H5" i="150"/>
  <c r="G11" i="150"/>
  <c r="G10" i="150"/>
  <c r="G9" i="150"/>
  <c r="G8" i="150"/>
  <c r="G7" i="150"/>
  <c r="G6" i="150"/>
  <c r="F11" i="150"/>
  <c r="F10" i="150"/>
  <c r="F9" i="150"/>
  <c r="F8" i="150"/>
  <c r="F7" i="150"/>
  <c r="F6" i="150"/>
  <c r="F5" i="150"/>
  <c r="E11" i="150"/>
  <c r="E10" i="150"/>
  <c r="E9" i="150"/>
  <c r="E8" i="150"/>
  <c r="E7" i="150"/>
  <c r="E5" i="150"/>
  <c r="E6" i="150"/>
  <c r="M10" i="119"/>
  <c r="M6" i="147"/>
  <c r="N28" i="147"/>
  <c r="N27" i="147"/>
  <c r="N25" i="147"/>
  <c r="M9" i="147"/>
  <c r="M8" i="147"/>
  <c r="M4" i="147"/>
  <c r="I39" i="136"/>
  <c r="I38" i="136"/>
  <c r="I37" i="136"/>
  <c r="G18" i="139" l="1"/>
  <c r="G5" i="139"/>
  <c r="H18" i="139"/>
  <c r="H5" i="139"/>
  <c r="I40" i="138"/>
  <c r="I25" i="138"/>
  <c r="H40" i="138"/>
  <c r="H25" i="138"/>
  <c r="J16" i="138" l="1"/>
  <c r="K16" i="138"/>
  <c r="J10" i="138"/>
  <c r="K10" i="138"/>
  <c r="J11" i="138"/>
  <c r="K11" i="138"/>
  <c r="J12" i="138"/>
  <c r="H12" i="138" s="1"/>
  <c r="K12" i="138"/>
  <c r="H16" i="138"/>
  <c r="H10" i="138"/>
  <c r="I16" i="138" l="1"/>
  <c r="I10" i="138"/>
  <c r="I12" i="138"/>
  <c r="G35" i="150" l="1"/>
  <c r="E35" i="150"/>
  <c r="G34" i="150"/>
  <c r="E34" i="150"/>
  <c r="G33" i="150"/>
  <c r="E33" i="150"/>
  <c r="I32" i="150"/>
  <c r="H32" i="150"/>
  <c r="G32" i="150"/>
  <c r="F32" i="150"/>
  <c r="E32" i="150"/>
  <c r="F21" i="150"/>
  <c r="E21" i="150"/>
  <c r="F20" i="150"/>
  <c r="E20" i="150"/>
  <c r="F19" i="150"/>
  <c r="E19" i="150"/>
  <c r="Q13" i="150"/>
  <c r="P13" i="150"/>
  <c r="O13" i="150"/>
  <c r="N13" i="150"/>
  <c r="M13" i="150"/>
  <c r="L13" i="150"/>
  <c r="K13" i="150"/>
  <c r="G25" i="137" l="1"/>
  <c r="I28" i="156" l="1"/>
  <c r="M30" i="146"/>
  <c r="I30" i="146" s="1"/>
  <c r="M32" i="146"/>
  <c r="I32" i="146" s="1"/>
  <c r="K15" i="136" l="1"/>
  <c r="K17" i="136"/>
  <c r="O41" i="146" l="1"/>
  <c r="O40" i="146"/>
  <c r="O39" i="146"/>
  <c r="O38" i="146"/>
  <c r="L16" i="136"/>
  <c r="K16" i="136" s="1"/>
  <c r="K23" i="136"/>
  <c r="L22" i="136"/>
  <c r="K22" i="136" s="1"/>
  <c r="L21" i="136"/>
  <c r="K21" i="136" s="1"/>
  <c r="L20" i="136"/>
  <c r="K20" i="136" s="1"/>
  <c r="L19" i="136"/>
  <c r="K19" i="136" s="1"/>
  <c r="L18" i="136"/>
  <c r="K18" i="136" s="1"/>
  <c r="F2" i="145" l="1"/>
  <c r="M12" i="147" l="1"/>
  <c r="M13" i="147"/>
  <c r="M11" i="147"/>
  <c r="M10" i="147"/>
  <c r="N32" i="147"/>
  <c r="N31" i="147"/>
  <c r="M22" i="147"/>
  <c r="M21" i="147"/>
  <c r="M20" i="147"/>
  <c r="N16" i="147"/>
  <c r="N2" i="147"/>
  <c r="M18" i="147" l="1"/>
  <c r="I29" i="136" l="1"/>
  <c r="I26" i="136"/>
  <c r="I8" i="136"/>
  <c r="I30" i="136"/>
  <c r="I27" i="136"/>
  <c r="I31" i="136" l="1"/>
  <c r="I28" i="136"/>
  <c r="I25" i="136"/>
  <c r="J8" i="136" l="1"/>
  <c r="I5" i="138"/>
  <c r="H18" i="138"/>
  <c r="H14" i="138"/>
  <c r="H5" i="138"/>
  <c r="I46" i="136" l="1"/>
  <c r="K49" i="136" l="1"/>
  <c r="K48" i="136"/>
  <c r="I49" i="136" l="1"/>
  <c r="I48" i="136"/>
  <c r="M41" i="136"/>
  <c r="M42" i="136"/>
  <c r="K41" i="136"/>
  <c r="I41" i="136" s="1"/>
  <c r="K40" i="136"/>
  <c r="I40" i="136" s="1"/>
  <c r="K42" i="136" l="1"/>
  <c r="I42" i="136" s="1"/>
  <c r="K7" i="136"/>
  <c r="I7" i="136" s="1"/>
  <c r="K6" i="136"/>
  <c r="I6" i="136" s="1"/>
  <c r="K5" i="136"/>
  <c r="I5" i="136" s="1"/>
  <c r="O4" i="119" l="1"/>
  <c r="K4" i="119" s="1"/>
  <c r="O6" i="119" l="1"/>
  <c r="K6" i="119" s="1"/>
  <c r="O5" i="119" l="1"/>
  <c r="K5" i="119" s="1"/>
  <c r="O7" i="119" l="1"/>
  <c r="K7" i="119" s="1"/>
  <c r="G28" i="137" l="1"/>
  <c r="G43" i="137" l="1"/>
  <c r="G44" i="137"/>
  <c r="I10" i="146"/>
  <c r="M2" i="139" l="1"/>
  <c r="I2" i="133" l="1"/>
  <c r="N2" i="119"/>
  <c r="J2" i="136"/>
  <c r="G2" i="137"/>
  <c r="I2" i="125"/>
  <c r="K2" i="146"/>
  <c r="K47" i="136" l="1"/>
  <c r="J21" i="125" l="1"/>
  <c r="I21" i="125" s="1"/>
  <c r="L11" i="136" l="1"/>
  <c r="J11" i="136" s="1"/>
  <c r="K11" i="136"/>
  <c r="I11" i="136" s="1"/>
  <c r="L10" i="136"/>
  <c r="J10" i="136" s="1"/>
  <c r="K10" i="136"/>
  <c r="I10" i="136" s="1"/>
  <c r="K9" i="136"/>
  <c r="I9" i="136" s="1"/>
  <c r="L9" i="136"/>
  <c r="J9" i="136" s="1"/>
  <c r="L6" i="136"/>
  <c r="J6" i="136" s="1"/>
  <c r="L7" i="136"/>
  <c r="J7" i="136" s="1"/>
  <c r="L5" i="136"/>
  <c r="J5" i="136" s="1"/>
  <c r="K43" i="125" l="1"/>
  <c r="K44" i="125"/>
  <c r="K45" i="125"/>
  <c r="K46" i="125"/>
  <c r="K47" i="125"/>
  <c r="K42" i="125"/>
  <c r="K32" i="125"/>
  <c r="K33" i="125"/>
  <c r="K34" i="125"/>
  <c r="K35" i="125"/>
  <c r="K36" i="125"/>
  <c r="K37" i="125"/>
  <c r="K38" i="125"/>
  <c r="K39" i="125"/>
  <c r="K31" i="125"/>
  <c r="K23" i="125"/>
  <c r="K24" i="125"/>
  <c r="K25" i="125"/>
  <c r="K26" i="125"/>
  <c r="K27" i="125"/>
  <c r="K28" i="125"/>
  <c r="K29" i="125"/>
  <c r="K22" i="125"/>
  <c r="K6" i="125"/>
  <c r="K7" i="125"/>
  <c r="K8" i="125"/>
  <c r="K9" i="125"/>
  <c r="K10" i="125"/>
  <c r="K11" i="125"/>
  <c r="K12" i="125"/>
  <c r="K13" i="125"/>
  <c r="K14" i="125"/>
  <c r="K15" i="125"/>
  <c r="K16" i="125"/>
  <c r="K17" i="125"/>
  <c r="K18" i="125"/>
  <c r="K19" i="125"/>
  <c r="K20" i="125"/>
  <c r="K5" i="125"/>
  <c r="M18" i="138"/>
  <c r="M14" i="138"/>
  <c r="J30" i="139" l="1"/>
  <c r="H30" i="139" s="1"/>
  <c r="J29" i="139"/>
  <c r="H29" i="139" s="1"/>
  <c r="J28" i="139"/>
  <c r="H28" i="139" s="1"/>
  <c r="J27" i="139"/>
  <c r="H27" i="139" s="1"/>
  <c r="J26" i="139"/>
  <c r="H26" i="139" s="1"/>
  <c r="J25" i="139"/>
  <c r="H25" i="139" s="1"/>
  <c r="J24" i="139"/>
  <c r="H24" i="139" s="1"/>
  <c r="J23" i="139"/>
  <c r="H23" i="139" s="1"/>
  <c r="J22" i="139"/>
  <c r="H22" i="139" s="1"/>
  <c r="J21" i="139"/>
  <c r="H21" i="139" s="1"/>
  <c r="J20" i="139"/>
  <c r="H20" i="139" s="1"/>
  <c r="I30" i="139"/>
  <c r="G30" i="139" s="1"/>
  <c r="I29" i="139"/>
  <c r="G29" i="139" s="1"/>
  <c r="I28" i="139"/>
  <c r="G28" i="139" s="1"/>
  <c r="I27" i="139"/>
  <c r="G27" i="139" s="1"/>
  <c r="I26" i="139"/>
  <c r="G26" i="139" s="1"/>
  <c r="I25" i="139"/>
  <c r="G25" i="139" s="1"/>
  <c r="I24" i="139"/>
  <c r="G24" i="139" s="1"/>
  <c r="I23" i="139"/>
  <c r="G23" i="139" s="1"/>
  <c r="I22" i="139"/>
  <c r="G22" i="139" s="1"/>
  <c r="I21" i="139"/>
  <c r="G21" i="139" s="1"/>
  <c r="I20" i="139"/>
  <c r="G20" i="139" s="1"/>
  <c r="J19" i="139"/>
  <c r="H19" i="139" s="1"/>
  <c r="I19" i="139"/>
  <c r="G19" i="139" s="1"/>
  <c r="J17" i="139"/>
  <c r="H17" i="139" s="1"/>
  <c r="J16" i="139"/>
  <c r="H16" i="139" s="1"/>
  <c r="J15" i="139"/>
  <c r="H15" i="139" s="1"/>
  <c r="J14" i="139"/>
  <c r="H14" i="139" s="1"/>
  <c r="J13" i="139"/>
  <c r="H13" i="139" s="1"/>
  <c r="J12" i="139"/>
  <c r="H12" i="139" s="1"/>
  <c r="J11" i="139"/>
  <c r="H11" i="139" s="1"/>
  <c r="J10" i="139"/>
  <c r="H10" i="139" s="1"/>
  <c r="J9" i="139"/>
  <c r="H9" i="139" s="1"/>
  <c r="J8" i="139"/>
  <c r="H8" i="139" s="1"/>
  <c r="J7" i="139"/>
  <c r="H7" i="139" s="1"/>
  <c r="J6" i="139"/>
  <c r="H6" i="139" s="1"/>
  <c r="I17" i="139"/>
  <c r="G17" i="139" s="1"/>
  <c r="I16" i="139"/>
  <c r="G16" i="139" s="1"/>
  <c r="I15" i="139"/>
  <c r="G15" i="139" s="1"/>
  <c r="I14" i="139"/>
  <c r="G14" i="139" s="1"/>
  <c r="I13" i="139"/>
  <c r="G13" i="139" s="1"/>
  <c r="I12" i="139"/>
  <c r="G12" i="139" s="1"/>
  <c r="I11" i="139"/>
  <c r="G11" i="139" s="1"/>
  <c r="I10" i="139"/>
  <c r="G10" i="139" s="1"/>
  <c r="I9" i="139"/>
  <c r="G9" i="139" s="1"/>
  <c r="I8" i="139"/>
  <c r="G8" i="139" s="1"/>
  <c r="I7" i="139"/>
  <c r="G7" i="139" s="1"/>
  <c r="I6" i="139"/>
  <c r="G6" i="139" s="1"/>
  <c r="K54" i="138"/>
  <c r="I54" i="138" s="1"/>
  <c r="K53" i="138"/>
  <c r="I53" i="138" s="1"/>
  <c r="K52" i="138"/>
  <c r="I52" i="138" s="1"/>
  <c r="K51" i="138"/>
  <c r="I51" i="138" s="1"/>
  <c r="K50" i="138"/>
  <c r="I50" i="138" s="1"/>
  <c r="K49" i="138"/>
  <c r="I49" i="138" s="1"/>
  <c r="K48" i="138"/>
  <c r="I48" i="138" s="1"/>
  <c r="K47" i="138"/>
  <c r="I47" i="138" s="1"/>
  <c r="K46" i="138"/>
  <c r="I46" i="138" s="1"/>
  <c r="K45" i="138"/>
  <c r="I45" i="138" s="1"/>
  <c r="K44" i="138"/>
  <c r="I44" i="138" s="1"/>
  <c r="K43" i="138"/>
  <c r="I43" i="138" s="1"/>
  <c r="K42" i="138"/>
  <c r="I42" i="138" s="1"/>
  <c r="J54" i="138"/>
  <c r="H54" i="138" s="1"/>
  <c r="J53" i="138"/>
  <c r="H53" i="138" s="1"/>
  <c r="J52" i="138"/>
  <c r="H52" i="138" s="1"/>
  <c r="J51" i="138"/>
  <c r="H51" i="138" s="1"/>
  <c r="J50" i="138"/>
  <c r="H50" i="138" s="1"/>
  <c r="J49" i="138"/>
  <c r="H49" i="138" s="1"/>
  <c r="J48" i="138"/>
  <c r="H48" i="138" s="1"/>
  <c r="J47" i="138"/>
  <c r="H47" i="138" s="1"/>
  <c r="J46" i="138"/>
  <c r="H46" i="138" s="1"/>
  <c r="J45" i="138"/>
  <c r="H45" i="138" s="1"/>
  <c r="J44" i="138"/>
  <c r="H44" i="138" s="1"/>
  <c r="J43" i="138"/>
  <c r="H43" i="138" s="1"/>
  <c r="J42" i="138"/>
  <c r="H42" i="138" s="1"/>
  <c r="K41" i="138"/>
  <c r="I41" i="138" s="1"/>
  <c r="J41" i="138"/>
  <c r="H41" i="138" s="1"/>
  <c r="K39" i="138"/>
  <c r="I39" i="138" s="1"/>
  <c r="K38" i="138"/>
  <c r="I38" i="138" s="1"/>
  <c r="K37" i="138"/>
  <c r="I37" i="138" s="1"/>
  <c r="K36" i="138"/>
  <c r="I36" i="138" s="1"/>
  <c r="K35" i="138"/>
  <c r="I35" i="138" s="1"/>
  <c r="K34" i="138"/>
  <c r="I34" i="138" s="1"/>
  <c r="K33" i="138"/>
  <c r="I33" i="138" s="1"/>
  <c r="K32" i="138"/>
  <c r="I32" i="138" s="1"/>
  <c r="K31" i="138"/>
  <c r="I31" i="138" s="1"/>
  <c r="K30" i="138"/>
  <c r="I30" i="138" s="1"/>
  <c r="K29" i="138"/>
  <c r="I29" i="138" s="1"/>
  <c r="K28" i="138"/>
  <c r="I28" i="138" s="1"/>
  <c r="K27" i="138"/>
  <c r="K26" i="138"/>
  <c r="I26" i="138" s="1"/>
  <c r="J39" i="138"/>
  <c r="H39" i="138" s="1"/>
  <c r="J38" i="138"/>
  <c r="H38" i="138" s="1"/>
  <c r="J37" i="138"/>
  <c r="H37" i="138" s="1"/>
  <c r="J36" i="138"/>
  <c r="H36" i="138" s="1"/>
  <c r="J35" i="138"/>
  <c r="H35" i="138" s="1"/>
  <c r="J34" i="138"/>
  <c r="H34" i="138" s="1"/>
  <c r="J33" i="138"/>
  <c r="H33" i="138" s="1"/>
  <c r="J32" i="138"/>
  <c r="H32" i="138" s="1"/>
  <c r="J31" i="138"/>
  <c r="H31" i="138" s="1"/>
  <c r="J30" i="138"/>
  <c r="H30" i="138" s="1"/>
  <c r="J29" i="138"/>
  <c r="H29" i="138" s="1"/>
  <c r="J28" i="138"/>
  <c r="H28" i="138" s="1"/>
  <c r="J27" i="138"/>
  <c r="H27" i="138" s="1"/>
  <c r="J26" i="138"/>
  <c r="H26" i="138" s="1"/>
  <c r="K24" i="138"/>
  <c r="I24" i="138" s="1"/>
  <c r="K23" i="138"/>
  <c r="I23" i="138" s="1"/>
  <c r="K22" i="138"/>
  <c r="I22" i="138" s="1"/>
  <c r="K21" i="138"/>
  <c r="I21" i="138" s="1"/>
  <c r="K20" i="138"/>
  <c r="I20" i="138" s="1"/>
  <c r="K19" i="138"/>
  <c r="I19" i="138" s="1"/>
  <c r="K18" i="138"/>
  <c r="I18" i="138" s="1"/>
  <c r="K17" i="138"/>
  <c r="I17" i="138" s="1"/>
  <c r="K15" i="138"/>
  <c r="I15" i="138" s="1"/>
  <c r="K14" i="138"/>
  <c r="I14" i="138" s="1"/>
  <c r="K13" i="138"/>
  <c r="I13" i="138" s="1"/>
  <c r="I11" i="138"/>
  <c r="K9" i="138"/>
  <c r="I9" i="138" s="1"/>
  <c r="K8" i="138"/>
  <c r="I8" i="138" s="1"/>
  <c r="K7" i="138"/>
  <c r="K6" i="138"/>
  <c r="I6" i="138" s="1"/>
  <c r="J24" i="138"/>
  <c r="H24" i="138" s="1"/>
  <c r="J23" i="138"/>
  <c r="H23" i="138" s="1"/>
  <c r="J22" i="138"/>
  <c r="H22" i="138" s="1"/>
  <c r="J21" i="138"/>
  <c r="H21" i="138" s="1"/>
  <c r="J20" i="138"/>
  <c r="H20" i="138" s="1"/>
  <c r="J19" i="138"/>
  <c r="H19" i="138" s="1"/>
  <c r="J17" i="138"/>
  <c r="H17" i="138" s="1"/>
  <c r="J15" i="138"/>
  <c r="H15" i="138" s="1"/>
  <c r="J13" i="138"/>
  <c r="H13" i="138" s="1"/>
  <c r="J7" i="138"/>
  <c r="H7" i="138" s="1"/>
  <c r="J8" i="138"/>
  <c r="H8" i="138" s="1"/>
  <c r="J9" i="138"/>
  <c r="H9" i="138" s="1"/>
  <c r="H11" i="138"/>
  <c r="J6" i="138"/>
  <c r="H6" i="138" s="1"/>
  <c r="K29" i="119" l="1"/>
  <c r="K20" i="119"/>
  <c r="K26" i="119"/>
  <c r="K14" i="119"/>
  <c r="M20" i="119"/>
  <c r="I7" i="138"/>
  <c r="I27" i="138"/>
  <c r="G26" i="137"/>
  <c r="G24" i="137"/>
  <c r="G23" i="137"/>
  <c r="M14" i="119" l="1"/>
  <c r="I23" i="136"/>
  <c r="K24" i="136"/>
  <c r="I24" i="136" s="1"/>
  <c r="M31" i="146" l="1"/>
  <c r="I31" i="146" s="1"/>
  <c r="I47" i="136" l="1"/>
  <c r="I15" i="136" l="1"/>
  <c r="I16" i="136"/>
  <c r="I17" i="136"/>
  <c r="I18" i="136"/>
  <c r="I19" i="136"/>
  <c r="I20" i="136"/>
  <c r="I21" i="136"/>
  <c r="I22" i="136"/>
  <c r="M38" i="146" l="1"/>
  <c r="I38" i="146" s="1"/>
  <c r="M39" i="146"/>
  <c r="I39" i="146" s="1"/>
  <c r="M40" i="146"/>
  <c r="I40" i="146" s="1"/>
  <c r="M41" i="146"/>
  <c r="I41" i="146" s="1"/>
  <c r="M37" i="146"/>
  <c r="I37" i="146" s="1"/>
  <c r="M34" i="146"/>
  <c r="I34" i="146" s="1"/>
  <c r="M33" i="146"/>
  <c r="I33" i="146" s="1"/>
  <c r="I5" i="133" l="1"/>
  <c r="G32" i="137" l="1"/>
  <c r="G33" i="137"/>
  <c r="G34" i="137"/>
  <c r="G35" i="137"/>
  <c r="G36" i="137"/>
  <c r="G38" i="137"/>
  <c r="G39" i="137"/>
  <c r="G40" i="137"/>
  <c r="G41" i="137"/>
  <c r="G42" i="137"/>
  <c r="I38" i="133" l="1"/>
  <c r="I37" i="133"/>
  <c r="J47" i="125" l="1"/>
  <c r="I47" i="125" s="1"/>
  <c r="J46" i="125"/>
  <c r="I46" i="125" s="1"/>
  <c r="J45" i="125"/>
  <c r="I45" i="125" s="1"/>
  <c r="J44" i="125"/>
  <c r="I44" i="125" s="1"/>
  <c r="J43" i="125"/>
  <c r="I43" i="125" s="1"/>
  <c r="J42" i="125"/>
  <c r="I42" i="125" s="1"/>
  <c r="J41" i="125"/>
  <c r="I41" i="125" s="1"/>
  <c r="J40" i="125"/>
  <c r="I40" i="125" s="1"/>
  <c r="J39" i="125"/>
  <c r="I39" i="125" s="1"/>
  <c r="J38" i="125"/>
  <c r="I38" i="125" s="1"/>
  <c r="J37" i="125"/>
  <c r="I37" i="125" s="1"/>
  <c r="J36" i="125"/>
  <c r="I36" i="125" s="1"/>
  <c r="J35" i="125"/>
  <c r="I35" i="125" s="1"/>
  <c r="J34" i="125"/>
  <c r="I34" i="125" s="1"/>
  <c r="J33" i="125"/>
  <c r="J32" i="125"/>
  <c r="I32" i="125" s="1"/>
  <c r="J31" i="125"/>
  <c r="I31" i="125" s="1"/>
  <c r="J29" i="125"/>
  <c r="I29" i="125" s="1"/>
  <c r="J28" i="125"/>
  <c r="M6" i="119" s="1"/>
  <c r="J27" i="125"/>
  <c r="I27" i="125" s="1"/>
  <c r="J26" i="125"/>
  <c r="I26" i="125" s="1"/>
  <c r="J25" i="125"/>
  <c r="J24" i="125"/>
  <c r="M5" i="119" s="1"/>
  <c r="J23" i="125"/>
  <c r="I23" i="125" s="1"/>
  <c r="J22" i="125"/>
  <c r="I22" i="125" s="1"/>
  <c r="J20" i="125"/>
  <c r="I20" i="125" s="1"/>
  <c r="J19" i="125"/>
  <c r="I19" i="125" s="1"/>
  <c r="J18" i="125"/>
  <c r="I18" i="125" s="1"/>
  <c r="J17" i="125"/>
  <c r="I17" i="125" s="1"/>
  <c r="J16" i="125"/>
  <c r="I16" i="125" s="1"/>
  <c r="J15" i="125"/>
  <c r="I15" i="125" s="1"/>
  <c r="J14" i="125"/>
  <c r="I14" i="125" s="1"/>
  <c r="J13" i="125"/>
  <c r="I13" i="125" s="1"/>
  <c r="J12" i="125"/>
  <c r="I12" i="125" s="1"/>
  <c r="J11" i="125"/>
  <c r="I11" i="125" s="1"/>
  <c r="J10" i="125"/>
  <c r="I10" i="125" s="1"/>
  <c r="J9" i="125"/>
  <c r="I9" i="125" s="1"/>
  <c r="J8" i="125"/>
  <c r="I8" i="125" s="1"/>
  <c r="J7" i="125"/>
  <c r="I7" i="125" s="1"/>
  <c r="J6" i="125"/>
  <c r="I6" i="125" s="1"/>
  <c r="J5" i="125"/>
  <c r="I5" i="125" s="1"/>
  <c r="J4" i="125"/>
  <c r="I4" i="125" s="1"/>
  <c r="R3" i="139"/>
  <c r="S3" i="139"/>
  <c r="T3" i="139"/>
  <c r="U3" i="139"/>
  <c r="V3" i="139"/>
  <c r="Q3" i="139"/>
  <c r="O53" i="139"/>
  <c r="O21" i="139"/>
  <c r="O4" i="139"/>
  <c r="Q52" i="139"/>
  <c r="R52" i="139"/>
  <c r="T52" i="139"/>
  <c r="P53" i="139"/>
  <c r="Q53" i="139"/>
  <c r="R53" i="139"/>
  <c r="S53" i="139"/>
  <c r="T53" i="139"/>
  <c r="U53" i="139"/>
  <c r="Q37" i="139"/>
  <c r="R37" i="139"/>
  <c r="S37" i="139"/>
  <c r="T37" i="139"/>
  <c r="Q39" i="139"/>
  <c r="S39" i="139"/>
  <c r="T39" i="139"/>
  <c r="P45" i="139"/>
  <c r="Q45" i="139"/>
  <c r="S45" i="139"/>
  <c r="T45" i="139"/>
  <c r="U45" i="139"/>
  <c r="Q46" i="139"/>
  <c r="S46" i="139"/>
  <c r="T46" i="139"/>
  <c r="P47" i="139"/>
  <c r="Q47" i="139"/>
  <c r="S47" i="139"/>
  <c r="T47" i="139"/>
  <c r="U47" i="139"/>
  <c r="Q48" i="139"/>
  <c r="S48" i="139"/>
  <c r="T48" i="139"/>
  <c r="Q49" i="139"/>
  <c r="T49" i="139"/>
  <c r="Q50" i="139"/>
  <c r="R50" i="139"/>
  <c r="T50" i="139"/>
  <c r="Q51" i="139"/>
  <c r="T51" i="139"/>
  <c r="P21" i="139"/>
  <c r="P17" i="139"/>
  <c r="P4" i="139"/>
  <c r="Q36" i="139"/>
  <c r="Q35" i="139"/>
  <c r="Q34" i="139"/>
  <c r="Q33" i="139"/>
  <c r="Q32" i="139"/>
  <c r="Q31" i="139"/>
  <c r="Q30" i="139"/>
  <c r="Q29" i="139"/>
  <c r="Q28" i="139"/>
  <c r="Q27" i="139"/>
  <c r="Q26" i="139"/>
  <c r="Q25" i="139"/>
  <c r="Q24" i="139"/>
  <c r="Q23" i="139"/>
  <c r="Q22" i="139"/>
  <c r="Q21" i="139"/>
  <c r="Q20" i="139"/>
  <c r="Q19" i="139"/>
  <c r="Q18" i="139"/>
  <c r="Q17" i="139"/>
  <c r="Q16" i="139"/>
  <c r="Q15" i="139"/>
  <c r="Q14" i="139"/>
  <c r="Q13" i="139"/>
  <c r="Q12" i="139"/>
  <c r="Q11" i="139"/>
  <c r="Q10" i="139"/>
  <c r="Q9" i="139"/>
  <c r="Q8" i="139"/>
  <c r="Q7" i="139"/>
  <c r="Q6" i="139"/>
  <c r="Q5" i="139"/>
  <c r="Q4" i="139"/>
  <c r="R35" i="139"/>
  <c r="R34" i="139"/>
  <c r="R32" i="139"/>
  <c r="R25" i="139"/>
  <c r="R15" i="139"/>
  <c r="R13" i="139"/>
  <c r="S36" i="139"/>
  <c r="S35" i="139"/>
  <c r="S34" i="139"/>
  <c r="S33" i="139"/>
  <c r="S32" i="139"/>
  <c r="S31" i="139"/>
  <c r="S30" i="139"/>
  <c r="S29" i="139"/>
  <c r="S28" i="139"/>
  <c r="S27" i="139"/>
  <c r="S26" i="139"/>
  <c r="S25" i="139"/>
  <c r="S24" i="139"/>
  <c r="S23" i="139"/>
  <c r="S22" i="139"/>
  <c r="S21" i="139"/>
  <c r="S16" i="139"/>
  <c r="S15" i="139"/>
  <c r="S14" i="139"/>
  <c r="S13" i="139"/>
  <c r="S12" i="139"/>
  <c r="S11" i="139"/>
  <c r="S10" i="139"/>
  <c r="S9" i="139"/>
  <c r="S8" i="139"/>
  <c r="S7" i="139"/>
  <c r="S6" i="139"/>
  <c r="S5" i="139"/>
  <c r="S4" i="139"/>
  <c r="T36" i="139"/>
  <c r="T35" i="139"/>
  <c r="T34" i="139"/>
  <c r="T33" i="139"/>
  <c r="T32" i="139"/>
  <c r="T31" i="139"/>
  <c r="T30" i="139"/>
  <c r="T29" i="139"/>
  <c r="T28" i="139"/>
  <c r="T27" i="139"/>
  <c r="T26" i="139"/>
  <c r="T25" i="139"/>
  <c r="T24" i="139"/>
  <c r="T23" i="139"/>
  <c r="T22" i="139"/>
  <c r="T21" i="139"/>
  <c r="T20" i="139"/>
  <c r="T19" i="139"/>
  <c r="T18" i="139"/>
  <c r="T17" i="139"/>
  <c r="T16" i="139"/>
  <c r="T15" i="139"/>
  <c r="T14" i="139"/>
  <c r="T13" i="139"/>
  <c r="T12" i="139"/>
  <c r="T11" i="139"/>
  <c r="T10" i="139"/>
  <c r="T9" i="139"/>
  <c r="T8" i="139"/>
  <c r="T7" i="139"/>
  <c r="T6" i="139"/>
  <c r="T5" i="139"/>
  <c r="T4" i="139"/>
  <c r="U21" i="139"/>
  <c r="U17" i="139"/>
  <c r="U4" i="139"/>
  <c r="O49" i="138"/>
  <c r="O48" i="138"/>
  <c r="O47" i="138"/>
  <c r="O46" i="138"/>
  <c r="O45" i="138"/>
  <c r="O44" i="138"/>
  <c r="O43" i="138"/>
  <c r="O42" i="138"/>
  <c r="O41" i="138"/>
  <c r="O40" i="138"/>
  <c r="O39" i="138"/>
  <c r="O38" i="138"/>
  <c r="O37" i="138"/>
  <c r="O36" i="138"/>
  <c r="O35" i="138"/>
  <c r="O34" i="138"/>
  <c r="O33" i="138"/>
  <c r="O32" i="138"/>
  <c r="O31" i="138"/>
  <c r="O30" i="138"/>
  <c r="O29" i="138"/>
  <c r="O28" i="138"/>
  <c r="O27" i="138"/>
  <c r="O26" i="138"/>
  <c r="O25" i="138"/>
  <c r="O24" i="138"/>
  <c r="O23" i="138"/>
  <c r="O22" i="138"/>
  <c r="O21" i="138"/>
  <c r="O20" i="138"/>
  <c r="O19" i="138"/>
  <c r="O18" i="138"/>
  <c r="O17" i="138"/>
  <c r="O15" i="138"/>
  <c r="O14" i="138"/>
  <c r="O13" i="138"/>
  <c r="O11" i="138"/>
  <c r="O9" i="138"/>
  <c r="O8" i="138"/>
  <c r="O7" i="138"/>
  <c r="O6" i="138"/>
  <c r="O5" i="138"/>
  <c r="O4" i="138"/>
  <c r="P49" i="138"/>
  <c r="P48" i="138"/>
  <c r="P47" i="138"/>
  <c r="P46" i="138"/>
  <c r="P45" i="138"/>
  <c r="P44" i="138"/>
  <c r="P43" i="138"/>
  <c r="P42" i="138"/>
  <c r="P41" i="138"/>
  <c r="P40" i="138"/>
  <c r="P39" i="138"/>
  <c r="P38" i="138"/>
  <c r="P37" i="138"/>
  <c r="P36" i="138"/>
  <c r="P35" i="138"/>
  <c r="P34" i="138"/>
  <c r="P33" i="138"/>
  <c r="P32" i="138"/>
  <c r="P31" i="138"/>
  <c r="P30" i="138"/>
  <c r="P29" i="138"/>
  <c r="P28" i="138"/>
  <c r="P27" i="138"/>
  <c r="P26" i="138"/>
  <c r="P25" i="138"/>
  <c r="P24" i="138"/>
  <c r="P23" i="138"/>
  <c r="P22" i="138"/>
  <c r="P21" i="138"/>
  <c r="P20" i="138"/>
  <c r="P19" i="138"/>
  <c r="P18" i="138"/>
  <c r="P17" i="138"/>
  <c r="P15" i="138"/>
  <c r="P14" i="138"/>
  <c r="P13" i="138"/>
  <c r="P11" i="138"/>
  <c r="P9" i="138"/>
  <c r="P8" i="138"/>
  <c r="P7" i="138"/>
  <c r="P6" i="138"/>
  <c r="P5" i="138"/>
  <c r="P4" i="138"/>
  <c r="U49" i="138"/>
  <c r="U48" i="138"/>
  <c r="U47" i="138"/>
  <c r="U46" i="138"/>
  <c r="U45" i="138"/>
  <c r="U44" i="138"/>
  <c r="U43" i="138"/>
  <c r="U42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U21" i="138"/>
  <c r="U20" i="138"/>
  <c r="U19" i="138"/>
  <c r="U18" i="138"/>
  <c r="U17" i="138"/>
  <c r="U15" i="138"/>
  <c r="U14" i="138"/>
  <c r="U13" i="138"/>
  <c r="U11" i="138"/>
  <c r="U9" i="138"/>
  <c r="U8" i="138"/>
  <c r="U7" i="138"/>
  <c r="U6" i="138"/>
  <c r="U5" i="138"/>
  <c r="U4" i="138"/>
  <c r="T49" i="138"/>
  <c r="T48" i="138"/>
  <c r="T47" i="138"/>
  <c r="T46" i="138"/>
  <c r="T45" i="138"/>
  <c r="T44" i="138"/>
  <c r="T43" i="138"/>
  <c r="T42" i="138"/>
  <c r="T41" i="138"/>
  <c r="T40" i="138"/>
  <c r="T39" i="138"/>
  <c r="T38" i="138"/>
  <c r="T37" i="138"/>
  <c r="T36" i="138"/>
  <c r="T35" i="138"/>
  <c r="T34" i="138"/>
  <c r="T33" i="138"/>
  <c r="T32" i="138"/>
  <c r="T31" i="138"/>
  <c r="T30" i="138"/>
  <c r="T29" i="138"/>
  <c r="T28" i="138"/>
  <c r="T27" i="138"/>
  <c r="T26" i="138"/>
  <c r="T25" i="138"/>
  <c r="T24" i="138"/>
  <c r="T23" i="138"/>
  <c r="T22" i="138"/>
  <c r="T21" i="138"/>
  <c r="T20" i="138"/>
  <c r="T19" i="138"/>
  <c r="T18" i="138"/>
  <c r="T17" i="138"/>
  <c r="T15" i="138"/>
  <c r="T14" i="138"/>
  <c r="T13" i="138"/>
  <c r="T11" i="138"/>
  <c r="T9" i="138"/>
  <c r="T8" i="138"/>
  <c r="T7" i="138"/>
  <c r="T6" i="138"/>
  <c r="T5" i="138"/>
  <c r="T4" i="138"/>
  <c r="S49" i="138"/>
  <c r="S48" i="138"/>
  <c r="S47" i="138"/>
  <c r="S46" i="138"/>
  <c r="S45" i="138"/>
  <c r="S44" i="138"/>
  <c r="S43" i="138"/>
  <c r="S42" i="138"/>
  <c r="S41" i="138"/>
  <c r="S40" i="138"/>
  <c r="S39" i="138"/>
  <c r="S38" i="138"/>
  <c r="S37" i="138"/>
  <c r="S36" i="138"/>
  <c r="S35" i="138"/>
  <c r="S34" i="138"/>
  <c r="S33" i="138"/>
  <c r="S32" i="138"/>
  <c r="S31" i="138"/>
  <c r="S30" i="138"/>
  <c r="S29" i="138"/>
  <c r="S28" i="138"/>
  <c r="S27" i="138"/>
  <c r="S26" i="138"/>
  <c r="S25" i="138"/>
  <c r="S24" i="138"/>
  <c r="S23" i="138"/>
  <c r="S22" i="138"/>
  <c r="S21" i="138"/>
  <c r="S20" i="138"/>
  <c r="S19" i="138"/>
  <c r="S18" i="138"/>
  <c r="S17" i="138"/>
  <c r="S15" i="138"/>
  <c r="S14" i="138"/>
  <c r="S13" i="138"/>
  <c r="S11" i="138"/>
  <c r="S9" i="138"/>
  <c r="S8" i="138"/>
  <c r="S7" i="138"/>
  <c r="S6" i="138"/>
  <c r="S5" i="138"/>
  <c r="S4" i="138"/>
  <c r="R49" i="138"/>
  <c r="R48" i="138"/>
  <c r="R47" i="138"/>
  <c r="R46" i="138"/>
  <c r="R45" i="138"/>
  <c r="R44" i="138"/>
  <c r="R43" i="138"/>
  <c r="R42" i="138"/>
  <c r="R41" i="138"/>
  <c r="R40" i="138"/>
  <c r="R39" i="138"/>
  <c r="R38" i="138"/>
  <c r="R37" i="138"/>
  <c r="R36" i="138"/>
  <c r="R35" i="138"/>
  <c r="R34" i="138"/>
  <c r="R33" i="138"/>
  <c r="R32" i="138"/>
  <c r="R31" i="138"/>
  <c r="R30" i="138"/>
  <c r="R29" i="138"/>
  <c r="R28" i="138"/>
  <c r="R27" i="138"/>
  <c r="R26" i="138"/>
  <c r="R25" i="138"/>
  <c r="R24" i="138"/>
  <c r="R23" i="138"/>
  <c r="R22" i="138"/>
  <c r="R21" i="138"/>
  <c r="R20" i="138"/>
  <c r="R19" i="138"/>
  <c r="R18" i="138"/>
  <c r="R17" i="138"/>
  <c r="R15" i="138"/>
  <c r="R14" i="138"/>
  <c r="R13" i="138"/>
  <c r="R11" i="138"/>
  <c r="R9" i="138"/>
  <c r="R8" i="138"/>
  <c r="R7" i="138"/>
  <c r="R6" i="138"/>
  <c r="R5" i="138"/>
  <c r="R4" i="138"/>
  <c r="Q49" i="138"/>
  <c r="Q48" i="138"/>
  <c r="Q47" i="138"/>
  <c r="Q46" i="138"/>
  <c r="Q45" i="138"/>
  <c r="Q44" i="138"/>
  <c r="Q43" i="138"/>
  <c r="Q42" i="138"/>
  <c r="Q41" i="138"/>
  <c r="Q40" i="138"/>
  <c r="Q39" i="138"/>
  <c r="Q38" i="138"/>
  <c r="Q37" i="138"/>
  <c r="Q36" i="138"/>
  <c r="Q35" i="138"/>
  <c r="Q34" i="138"/>
  <c r="Q33" i="138"/>
  <c r="Q32" i="138"/>
  <c r="Q31" i="138"/>
  <c r="Q30" i="138"/>
  <c r="Q29" i="138"/>
  <c r="Q28" i="138"/>
  <c r="Q27" i="138"/>
  <c r="Q26" i="138"/>
  <c r="Q25" i="138"/>
  <c r="Q24" i="138"/>
  <c r="Q23" i="138"/>
  <c r="Q22" i="138"/>
  <c r="Q21" i="138"/>
  <c r="Q20" i="138"/>
  <c r="Q19" i="138"/>
  <c r="Q18" i="138"/>
  <c r="Q17" i="138"/>
  <c r="Q15" i="138"/>
  <c r="Q14" i="138"/>
  <c r="Q13" i="138"/>
  <c r="Q11" i="138"/>
  <c r="Q9" i="138"/>
  <c r="Q8" i="138"/>
  <c r="Q7" i="138"/>
  <c r="Q6" i="138"/>
  <c r="Q5" i="138"/>
  <c r="Q4" i="138"/>
  <c r="I62" i="125"/>
  <c r="I50" i="146"/>
  <c r="I50" i="136"/>
  <c r="I49" i="133"/>
  <c r="I48" i="133"/>
  <c r="I47" i="133"/>
  <c r="I46" i="133"/>
  <c r="I45" i="133"/>
  <c r="I44" i="133"/>
  <c r="I43" i="133"/>
  <c r="I42" i="133"/>
  <c r="I41" i="133"/>
  <c r="I40" i="133"/>
  <c r="I39" i="133"/>
  <c r="I36" i="133"/>
  <c r="I35" i="133"/>
  <c r="I31" i="133"/>
  <c r="I26" i="133"/>
  <c r="I21" i="133"/>
  <c r="I19" i="133"/>
  <c r="I15" i="133"/>
  <c r="I9" i="133"/>
  <c r="I51" i="136"/>
  <c r="G30" i="137"/>
  <c r="K30" i="119" l="1"/>
  <c r="K27" i="119"/>
  <c r="M26" i="119" s="1"/>
  <c r="M4" i="119"/>
  <c r="M7" i="119"/>
  <c r="I25" i="125"/>
  <c r="M29" i="119"/>
  <c r="I24" i="125"/>
  <c r="V27" i="138" s="1"/>
  <c r="I28" i="125"/>
  <c r="I33" i="125"/>
  <c r="I15" i="146"/>
  <c r="I13" i="146"/>
  <c r="K15" i="146"/>
  <c r="K13" i="146"/>
  <c r="I14" i="146"/>
  <c r="K14" i="146"/>
  <c r="V5" i="138"/>
  <c r="V9" i="138"/>
  <c r="V18" i="138"/>
  <c r="V20" i="138"/>
  <c r="V21" i="139"/>
  <c r="V26" i="138"/>
  <c r="V30" i="138"/>
  <c r="V33" i="139"/>
  <c r="V42" i="138"/>
  <c r="V50" i="138"/>
  <c r="V6" i="139"/>
  <c r="V39" i="138"/>
  <c r="N41" i="146"/>
  <c r="I8" i="146"/>
  <c r="J8" i="146"/>
  <c r="V53" i="139"/>
  <c r="V44" i="138"/>
  <c r="N40" i="146"/>
  <c r="I16" i="146" s="1"/>
  <c r="J30" i="125"/>
  <c r="I30" i="125" s="1"/>
  <c r="V38" i="138"/>
  <c r="N39" i="146"/>
  <c r="L8" i="146" s="1"/>
  <c r="V28" i="138"/>
  <c r="V25" i="139"/>
  <c r="V24" i="138"/>
  <c r="V15" i="138"/>
  <c r="V13" i="139"/>
  <c r="V31" i="139"/>
  <c r="V34" i="138"/>
  <c r="V45" i="139"/>
  <c r="V23" i="139"/>
  <c r="V46" i="138"/>
  <c r="V49" i="139"/>
  <c r="V51" i="139"/>
  <c r="V48" i="138"/>
  <c r="V47" i="139"/>
  <c r="V11" i="139"/>
  <c r="V13" i="138"/>
  <c r="V22" i="138"/>
  <c r="V19" i="139"/>
  <c r="V17" i="139"/>
  <c r="V8" i="139"/>
  <c r="V8" i="138"/>
  <c r="V25" i="138"/>
  <c r="V22" i="139"/>
  <c r="V39" i="139"/>
  <c r="V41" i="138"/>
  <c r="V43" i="138"/>
  <c r="V46" i="139"/>
  <c r="V45" i="138"/>
  <c r="V48" i="139"/>
  <c r="V4" i="139"/>
  <c r="V4" i="138"/>
  <c r="V33" i="138"/>
  <c r="V30" i="139"/>
  <c r="V40" i="138"/>
  <c r="V37" i="139"/>
  <c r="V5" i="139"/>
  <c r="V6" i="138"/>
  <c r="V36" i="139"/>
  <c r="V35" i="139"/>
  <c r="V27" i="139"/>
  <c r="V9" i="139"/>
  <c r="V7" i="138"/>
  <c r="V7" i="139"/>
  <c r="V10" i="139"/>
  <c r="V11" i="138"/>
  <c r="V14" i="138"/>
  <c r="V12" i="139"/>
  <c r="V17" i="138"/>
  <c r="V14" i="139"/>
  <c r="V15" i="139"/>
  <c r="V19" i="138"/>
  <c r="V16" i="139"/>
  <c r="V18" i="139"/>
  <c r="V21" i="138"/>
  <c r="V23" i="138"/>
  <c r="V20" i="139"/>
  <c r="V29" i="138"/>
  <c r="V26" i="139"/>
  <c r="V36" i="138"/>
  <c r="V34" i="139"/>
  <c r="V37" i="138"/>
  <c r="V47" i="138"/>
  <c r="V50" i="139"/>
  <c r="V52" i="139"/>
  <c r="V49" i="138"/>
  <c r="N16" i="138" l="1"/>
  <c r="M12" i="138"/>
  <c r="N26" i="138"/>
  <c r="N12" i="138"/>
  <c r="M16" i="138"/>
  <c r="M10" i="138"/>
  <c r="M11" i="138"/>
  <c r="N29" i="138"/>
  <c r="N6" i="138"/>
  <c r="M53" i="138"/>
  <c r="M6" i="138"/>
  <c r="N32" i="138"/>
  <c r="M20" i="138"/>
  <c r="N41" i="138"/>
  <c r="M50" i="138"/>
  <c r="M30" i="138"/>
  <c r="M34" i="138"/>
  <c r="M26" i="138"/>
  <c r="N38" i="138"/>
  <c r="M45" i="138"/>
  <c r="M15" i="138"/>
  <c r="N9" i="138"/>
  <c r="M35" i="138"/>
  <c r="M41" i="138"/>
  <c r="L5" i="139"/>
  <c r="K16" i="146"/>
  <c r="M19" i="138"/>
  <c r="M49" i="138"/>
  <c r="N44" i="138"/>
  <c r="V32" i="138"/>
  <c r="V29" i="139"/>
  <c r="M8" i="139" s="1"/>
  <c r="L8" i="139"/>
  <c r="M27" i="139"/>
  <c r="N37" i="146"/>
  <c r="N38" i="146"/>
  <c r="K8" i="146" s="1"/>
  <c r="M5" i="139"/>
  <c r="V24" i="139"/>
  <c r="L18" i="139"/>
  <c r="M12" i="139"/>
  <c r="N33" i="138"/>
  <c r="N18" i="138"/>
  <c r="N17" i="138"/>
  <c r="N50" i="138"/>
  <c r="N35" i="138"/>
  <c r="N20" i="138"/>
  <c r="N46" i="138"/>
  <c r="N31" i="138"/>
  <c r="N14" i="138"/>
  <c r="N13" i="138"/>
  <c r="N8" i="138"/>
  <c r="N28" i="138"/>
  <c r="N7" i="138"/>
  <c r="N27" i="138"/>
  <c r="N25" i="138"/>
  <c r="N5" i="138"/>
  <c r="M8" i="138"/>
  <c r="M27" i="138"/>
  <c r="M7" i="138"/>
  <c r="M33" i="138"/>
  <c r="M17" i="138"/>
  <c r="M31" i="138"/>
  <c r="M13" i="138"/>
  <c r="M5" i="138"/>
  <c r="L16" i="139"/>
  <c r="M20" i="139"/>
  <c r="L10" i="139"/>
  <c r="M16" i="139"/>
  <c r="M29" i="139"/>
  <c r="L30" i="139"/>
  <c r="L17" i="139"/>
  <c r="N42" i="138"/>
  <c r="L23" i="139"/>
  <c r="M13" i="139"/>
  <c r="M26" i="139"/>
  <c r="N47" i="138"/>
  <c r="M11" i="139"/>
  <c r="M15" i="139"/>
  <c r="M14" i="139"/>
  <c r="M28" i="139"/>
  <c r="N15" i="138"/>
  <c r="M18" i="139"/>
  <c r="M48" i="138"/>
  <c r="M7" i="139"/>
  <c r="M47" i="138"/>
  <c r="M32" i="138"/>
  <c r="V32" i="139"/>
  <c r="V35" i="138"/>
  <c r="N19" i="138"/>
  <c r="N37" i="138"/>
  <c r="V28" i="139"/>
  <c r="V31" i="138"/>
  <c r="N23" i="138"/>
  <c r="N21" i="138"/>
  <c r="N51" i="138"/>
  <c r="N22" i="138"/>
  <c r="M29" i="138"/>
  <c r="M9" i="138"/>
  <c r="M44" i="138"/>
  <c r="N34" i="138"/>
  <c r="N49" i="138"/>
  <c r="N36" i="138"/>
  <c r="L21" i="139"/>
  <c r="M42" i="138"/>
  <c r="N52" i="138"/>
  <c r="M24" i="139"/>
  <c r="M25" i="139"/>
  <c r="M9" i="139"/>
  <c r="M22" i="139"/>
  <c r="M40" i="138"/>
  <c r="M25" i="138"/>
  <c r="N40" i="138"/>
  <c r="L20" i="139"/>
  <c r="L7" i="139"/>
  <c r="L19" i="139"/>
  <c r="L6" i="139"/>
  <c r="M43" i="138"/>
  <c r="M28" i="138"/>
  <c r="M46" i="138"/>
  <c r="L9" i="139"/>
  <c r="L22" i="139"/>
  <c r="L11" i="139"/>
  <c r="L12" i="139"/>
  <c r="L24" i="139"/>
  <c r="L25" i="139"/>
  <c r="L14" i="139"/>
  <c r="L27" i="139"/>
  <c r="L26" i="139"/>
  <c r="L15" i="139"/>
  <c r="L13" i="139"/>
  <c r="L29" i="139"/>
  <c r="L28" i="139"/>
  <c r="M52" i="138"/>
  <c r="M21" i="138"/>
  <c r="M23" i="138"/>
  <c r="M36" i="138"/>
  <c r="M51" i="138"/>
  <c r="M38" i="138"/>
  <c r="M37" i="138"/>
  <c r="M22" i="138"/>
  <c r="M39" i="138"/>
  <c r="M24" i="138"/>
  <c r="M54" i="138"/>
  <c r="M6" i="139"/>
  <c r="M19" i="139"/>
  <c r="N43" i="138"/>
  <c r="N48" i="138"/>
  <c r="M10" i="139"/>
  <c r="M23" i="139"/>
  <c r="N54" i="138"/>
  <c r="N53" i="138"/>
  <c r="N39" i="138"/>
  <c r="N24" i="138"/>
  <c r="M17" i="139"/>
  <c r="M30" i="139"/>
  <c r="N10" i="138" l="1"/>
  <c r="N11" i="138"/>
  <c r="N30" i="138"/>
  <c r="N45" i="138"/>
  <c r="M21" i="139"/>
</calcChain>
</file>

<file path=xl/sharedStrings.xml><?xml version="1.0" encoding="utf-8"?>
<sst xmlns="http://schemas.openxmlformats.org/spreadsheetml/2006/main" count="3251" uniqueCount="1386">
  <si>
    <t>Отсутствует</t>
  </si>
  <si>
    <t>При заказе  Панелей с ячейкой 100/150/200*60 к стоимости Панелей с ячейкой 100/150/200*55 применяется коэффициент 0,95</t>
  </si>
  <si>
    <t>При заказе  Панелей с ячейкой 100*55 к стоимости Панелей с ячейкой 200*55 применяется коэффициент 1,20</t>
  </si>
  <si>
    <t>При заказе  Панелей с ячейкой 150*55 к стоимости Панелей с ячейкой 200*55 применяется коэффициент 1,10</t>
  </si>
  <si>
    <t>Коэффициенты применяются в последовательности от большего к меньшему</t>
  </si>
  <si>
    <t>оцинкованные</t>
  </si>
  <si>
    <t>Ваша скидка</t>
  </si>
  <si>
    <t>оцинкованная</t>
  </si>
  <si>
    <t>оцинкованный  / с полимерным покрытием</t>
  </si>
  <si>
    <t>оцинкованный</t>
  </si>
  <si>
    <t>скрыть</t>
  </si>
  <si>
    <r>
      <t xml:space="preserve">Штрих-корректоры
</t>
    </r>
    <r>
      <rPr>
        <sz val="16"/>
        <rFont val="Arial"/>
        <family val="2"/>
        <charset val="204"/>
      </rPr>
      <t>используется для реставрации полимерного покрытия</t>
    </r>
  </si>
  <si>
    <t>Вес, кг/шт.</t>
  </si>
  <si>
    <t>Комплектация</t>
  </si>
  <si>
    <t>Газонные и тротуарные ограждения</t>
  </si>
  <si>
    <t>в бухте 10 погонных метров</t>
  </si>
  <si>
    <t>полиэстер двс</t>
  </si>
  <si>
    <t>Цена, руб.</t>
  </si>
  <si>
    <t>-</t>
  </si>
  <si>
    <t>Комплект откатных ворот</t>
  </si>
  <si>
    <t>Комплект для автоматизации откатных ворот</t>
  </si>
  <si>
    <t>Protect**</t>
  </si>
  <si>
    <t>Наименование Откатных ворот</t>
  </si>
  <si>
    <t>Заполнение</t>
  </si>
  <si>
    <t>Профильная труба 40*20</t>
  </si>
  <si>
    <t>Цены указаны на стандартные цвета. Возможно исполнение в других цветах стоимость по согласованию.</t>
  </si>
  <si>
    <t>Ваша Скидка</t>
  </si>
  <si>
    <t>Покрытие</t>
  </si>
  <si>
    <t>Высота/ Длина рулона, м</t>
  </si>
  <si>
    <t>Ячейка, мм</t>
  </si>
  <si>
    <t>Вес панели, кг</t>
  </si>
  <si>
    <t>1,0/25</t>
  </si>
  <si>
    <t>Высота/ Ширина, м</t>
  </si>
  <si>
    <t>Вес,                       кг/шт.</t>
  </si>
  <si>
    <t>3006P</t>
  </si>
  <si>
    <t>3012VCA</t>
  </si>
  <si>
    <t>HYBRID 6060</t>
  </si>
  <si>
    <t>отсутствует</t>
  </si>
  <si>
    <t>Ручки</t>
  </si>
  <si>
    <t>Цилиндр и ключи</t>
  </si>
  <si>
    <t>Защитная накладка для замка</t>
  </si>
  <si>
    <t>3020-HYB, цвет - черный</t>
  </si>
  <si>
    <t>3006S</t>
  </si>
  <si>
    <t>цинк Zn</t>
  </si>
  <si>
    <t>40*20*3000</t>
  </si>
  <si>
    <t xml:space="preserve">62*55*2500     </t>
  </si>
  <si>
    <t xml:space="preserve">62*55*3000   </t>
  </si>
  <si>
    <t>Регулируемые скорость и сила закрытия                                                                    Отбойник прилагается в комплекте</t>
  </si>
  <si>
    <t>Фиксатор створки ворот антивандальный</t>
  </si>
  <si>
    <t>HOOK-IN</t>
  </si>
  <si>
    <t>Предотвращает взлом ворот с помощью лома</t>
  </si>
  <si>
    <t>Элемент быстрого монтажа</t>
  </si>
  <si>
    <t>QUICK-FIX</t>
  </si>
  <si>
    <t>Петля для промышленных ворот</t>
  </si>
  <si>
    <t>Петля с регулировкой в четырех направлениях</t>
  </si>
  <si>
    <t>GBMU4D16Z</t>
  </si>
  <si>
    <t>Цинк</t>
  </si>
  <si>
    <t>Петля с регулировкой в одном направлении</t>
  </si>
  <si>
    <t>Петля универсальная</t>
  </si>
  <si>
    <t>Петля универсального открывания</t>
  </si>
  <si>
    <t>Полимер</t>
  </si>
  <si>
    <t>в бухте 400 погонных метров</t>
  </si>
  <si>
    <t>в бухте 7-8 погонных метров</t>
  </si>
  <si>
    <t>Модель</t>
  </si>
  <si>
    <t>Все цены указаны с НДС на складе завода Grand Line (71 км от МКАД по Киевскому шоссе, Ворсино)</t>
  </si>
  <si>
    <t>Ограждения</t>
  </si>
  <si>
    <t>При заказе  Панелей шириной 3100 мм к стоимости Панелей 2500 мм применяется коэффициент 1,25</t>
  </si>
  <si>
    <t>оцинкованное  / с полимерным покрытием</t>
  </si>
  <si>
    <t>Клипса соединительная</t>
  </si>
  <si>
    <t>Наконечник  универсальный</t>
  </si>
  <si>
    <t xml:space="preserve">цены действительны с </t>
  </si>
  <si>
    <t>Наименование</t>
  </si>
  <si>
    <t>Высота, м</t>
  </si>
  <si>
    <t>Ширина, м</t>
  </si>
  <si>
    <t>Саморезы
5,5x19</t>
  </si>
  <si>
    <t>полимер</t>
  </si>
  <si>
    <t>Изображение продукции</t>
  </si>
  <si>
    <t xml:space="preserve">62*55*2000   </t>
  </si>
  <si>
    <t>Кол-во ребер, шт.</t>
  </si>
  <si>
    <t>Кол-во отверстий, шт.</t>
  </si>
  <si>
    <t>Кол-во в упаковке, шт.</t>
  </si>
  <si>
    <t>Высота/ Ширина,м</t>
  </si>
  <si>
    <t>Реком розничная цена, руб/п.м.</t>
  </si>
  <si>
    <t>Ригель створки ворот</t>
  </si>
  <si>
    <t>VSF QF</t>
  </si>
  <si>
    <t>мин 40</t>
  </si>
  <si>
    <t>Основная часть - алюминий, Запорная часть - цинк</t>
  </si>
  <si>
    <t>Фиксатор ригелей ворот</t>
  </si>
  <si>
    <t>OGS</t>
  </si>
  <si>
    <t>Крышка</t>
  </si>
  <si>
    <t xml:space="preserve">Направляющая  </t>
  </si>
  <si>
    <t xml:space="preserve">60*20*2500 </t>
  </si>
  <si>
    <t>Панели не отмеченные как складские в цинке производятся в количестве от 300 штук</t>
  </si>
  <si>
    <t>RAL 3005, 6005, 8017</t>
  </si>
  <si>
    <t>Фиксатор створки ворот</t>
  </si>
  <si>
    <t>UGC</t>
  </si>
  <si>
    <t>Положение крюка под нижним профилем ворот</t>
  </si>
  <si>
    <t xml:space="preserve">360*2500    </t>
  </si>
  <si>
    <t xml:space="preserve"> Стойка </t>
  </si>
  <si>
    <t>84*48*2500</t>
  </si>
  <si>
    <t xml:space="preserve">84*48*3000 </t>
  </si>
  <si>
    <t xml:space="preserve">248*109*40 </t>
  </si>
  <si>
    <t>Крышка универсальная</t>
  </si>
  <si>
    <t>Заглушка GL 62*55</t>
  </si>
  <si>
    <t>62*55*30</t>
  </si>
  <si>
    <t>ПВХ</t>
  </si>
  <si>
    <t>L-кронштейн</t>
  </si>
  <si>
    <t>Высота ограждения, м</t>
  </si>
  <si>
    <t xml:space="preserve">Габаритные размеры, мм                             </t>
  </si>
  <si>
    <t>Кол-во в упак , шт.</t>
  </si>
  <si>
    <t>Толщина, мм</t>
  </si>
  <si>
    <t>Комплект</t>
  </si>
  <si>
    <t>мин</t>
  </si>
  <si>
    <t>макс</t>
  </si>
  <si>
    <t>60мм</t>
  </si>
  <si>
    <t>Ручка</t>
  </si>
  <si>
    <t>3006М</t>
  </si>
  <si>
    <t>Цилиндр</t>
  </si>
  <si>
    <t>3012VSZ</t>
  </si>
  <si>
    <t>Ключи</t>
  </si>
  <si>
    <t>3 штуки</t>
  </si>
  <si>
    <t>VERTICLOSE</t>
  </si>
  <si>
    <t>При заказе  Панелей шириной 3000 мм к стоимости Панелей 2500 мм применяется коэффициент 1,20</t>
  </si>
  <si>
    <t>индивидуально</t>
  </si>
  <si>
    <t>оцинкованное</t>
  </si>
  <si>
    <t>Цвет</t>
  </si>
  <si>
    <t>Цена, руб</t>
  </si>
  <si>
    <t xml:space="preserve">Столб оцинкованный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заглушкой                                                                                                                                                                                                                                         </t>
  </si>
  <si>
    <t>Ответная планка SSKZ QF</t>
  </si>
  <si>
    <t>черный RAL 9005</t>
  </si>
  <si>
    <t>пвх</t>
  </si>
  <si>
    <t>нерж.</t>
  </si>
  <si>
    <t>цены действительны с</t>
  </si>
  <si>
    <t xml:space="preserve"> Декоративное полотно</t>
  </si>
  <si>
    <t>51 мм</t>
  </si>
  <si>
    <t>90*55*3000</t>
  </si>
  <si>
    <t>90*55*4000</t>
  </si>
  <si>
    <t>с полимерным покрытием</t>
  </si>
  <si>
    <t>6005, 9005, 9010</t>
  </si>
  <si>
    <t>G90Z-M20</t>
  </si>
  <si>
    <t>Комплект: Промышленный замок в металлическом корпусе*</t>
  </si>
  <si>
    <t>Замок LAKQ6060 (4040) U2**</t>
  </si>
  <si>
    <t>6005, 9005, Алюминий</t>
  </si>
  <si>
    <t>Ответная планка SAKL QF</t>
  </si>
  <si>
    <t>Упорная часть</t>
  </si>
  <si>
    <t>Алюминий с резиновыми полосами</t>
  </si>
  <si>
    <t>Комплект : Замок в полиамидном корпусе*</t>
  </si>
  <si>
    <t>LAKZ6060 (4040) P1**</t>
  </si>
  <si>
    <t>Комплект: Врезной замок HYBRID*</t>
  </si>
  <si>
    <t>Цвет алюминий</t>
  </si>
  <si>
    <t>Комплект: Замок для откатных ворот*</t>
  </si>
  <si>
    <t>LSKZ6060 U2</t>
  </si>
  <si>
    <t>&gt;</t>
  </si>
  <si>
    <t>Нержавеющая сталь</t>
  </si>
  <si>
    <t>Алюминий</t>
  </si>
  <si>
    <t>Ответная планка из полиамида</t>
  </si>
  <si>
    <t>SMKL QF</t>
  </si>
  <si>
    <t xml:space="preserve">Полиэтилен армированный стекловолокном                     </t>
  </si>
  <si>
    <t>Струна оцинкованная 2,5 мм для крепления СББ/ПББ</t>
  </si>
  <si>
    <t>Проволока оцинкованная 1,6 мм для крепления СББ/ПББ к струне</t>
  </si>
  <si>
    <r>
      <t>Элементы панельных ограждений Grand Line</t>
    </r>
    <r>
      <rPr>
        <b/>
        <vertAlign val="superscript"/>
        <sz val="20"/>
        <color indexed="10"/>
        <rFont val="Arial"/>
        <family val="2"/>
        <charset val="204"/>
      </rPr>
      <t>®</t>
    </r>
  </si>
  <si>
    <r>
      <t>Модульные ограждения Grand Line</t>
    </r>
    <r>
      <rPr>
        <b/>
        <vertAlign val="superscript"/>
        <sz val="20"/>
        <color indexed="10"/>
        <rFont val="Arial"/>
        <family val="2"/>
        <charset val="204"/>
      </rPr>
      <t>®</t>
    </r>
  </si>
  <si>
    <t>* - поддерживаются на складе</t>
  </si>
  <si>
    <t>12 мл.</t>
  </si>
  <si>
    <t>Корректор для ремонта царапин цвета по RAL</t>
  </si>
  <si>
    <t>Возможно производство откатных ворот с заполнением панелью Bastion, в данном случае к стоимости откатных ворот Profi применяется наценка 10%</t>
  </si>
  <si>
    <t>Высота * Ширина, м.</t>
  </si>
  <si>
    <t>Элементы Ограждения Optima</t>
  </si>
  <si>
    <r>
      <t>Элементы модульных ограждений Grand Line</t>
    </r>
    <r>
      <rPr>
        <b/>
        <vertAlign val="superscript"/>
        <sz val="20"/>
        <color indexed="10"/>
        <rFont val="Arial"/>
        <family val="2"/>
        <charset val="204"/>
      </rPr>
      <t>®</t>
    </r>
  </si>
  <si>
    <t>примечание, №</t>
  </si>
  <si>
    <t>примечания:
№1 - поддерживается на складе в цинке</t>
  </si>
  <si>
    <t xml:space="preserve">треугольный или прямоугольный </t>
  </si>
  <si>
    <t>1,5 м</t>
  </si>
  <si>
    <t>Стандарт. цвета</t>
  </si>
  <si>
    <r>
      <t>Откатные ворота Grand Line</t>
    </r>
    <r>
      <rPr>
        <b/>
        <vertAlign val="superscript"/>
        <sz val="20"/>
        <color indexed="10"/>
        <rFont val="Calibri"/>
        <family val="2"/>
        <charset val="204"/>
      </rPr>
      <t>®</t>
    </r>
  </si>
  <si>
    <t>Наименование 
Откатных ворот</t>
  </si>
  <si>
    <r>
      <t>Цена за 1 п.м. комплекта прямого не замкнутого участка</t>
    </r>
    <r>
      <rPr>
        <sz val="14"/>
        <rFont val="Arial"/>
        <family val="2"/>
        <charset val="204"/>
      </rPr>
      <t xml:space="preserve"> (столб 62*55 под бетон + панель + скоба-болт/2,5)</t>
    </r>
    <r>
      <rPr>
        <b/>
        <sz val="14"/>
        <rFont val="Arial"/>
        <family val="2"/>
        <charset val="204"/>
      </rPr>
      <t xml:space="preserve">, руб.
</t>
    </r>
    <r>
      <rPr>
        <b/>
        <sz val="14"/>
        <color indexed="10"/>
        <rFont val="Arial"/>
        <family val="2"/>
        <charset val="204"/>
      </rPr>
      <t>Внимание! Расчет теоретический.</t>
    </r>
    <r>
      <rPr>
        <b/>
        <sz val="14"/>
        <rFont val="Arial"/>
        <family val="2"/>
        <charset val="204"/>
      </rPr>
      <t xml:space="preserve"> Продажа ведется по ЭЛЕМЕНТАМ и расчет по конкретному участку будет отличаться!</t>
    </r>
  </si>
  <si>
    <t>Zn</t>
  </si>
  <si>
    <t>PE</t>
  </si>
  <si>
    <t>примечание №</t>
  </si>
  <si>
    <t>0,63 х 2,5</t>
  </si>
  <si>
    <t>0,83 х 2,5</t>
  </si>
  <si>
    <t>1,23 х 2,5</t>
  </si>
  <si>
    <t>1,43 х 2,5</t>
  </si>
  <si>
    <t>1,93 х 2,5</t>
  </si>
  <si>
    <t>2,23 х 2,5</t>
  </si>
  <si>
    <t>2,63 х 2,4</t>
  </si>
  <si>
    <t>2,83 х 2,4</t>
  </si>
  <si>
    <t>3,03 х 2,4</t>
  </si>
  <si>
    <t>3,33 х 2,4</t>
  </si>
  <si>
    <t>1,03 х 2,5</t>
  </si>
  <si>
    <t>1,53 х 2,5</t>
  </si>
  <si>
    <t>1,73 х 2,5</t>
  </si>
  <si>
    <t>1,73 х 3,0</t>
  </si>
  <si>
    <t>2,03 х 2,5</t>
  </si>
  <si>
    <t>2,03 х 3,0</t>
  </si>
  <si>
    <t>2,43 х 2,5</t>
  </si>
  <si>
    <t>Высота х Ширина, м.</t>
  </si>
  <si>
    <t>Примечания:</t>
  </si>
  <si>
    <t>Панели BASTION 5/6, BASTION 6/8</t>
  </si>
  <si>
    <t>Панели MEDIUM, PROFI, EXPERT</t>
  </si>
  <si>
    <t>1,63 х 2,5</t>
  </si>
  <si>
    <t>1,83 х 2,5</t>
  </si>
  <si>
    <t>3,23 х 2,4</t>
  </si>
  <si>
    <t>3,43 х 2,4</t>
  </si>
  <si>
    <t>**6060 (4040) – поддерживается на складе для 60 и 40 профиля</t>
  </si>
  <si>
    <t xml:space="preserve">*Стоимость комплекта складывается из замка (ручки, цилиндр, ключи – отдельно не продаются) и ответной планки
</t>
  </si>
  <si>
    <t>Дополнительно можно заказать любую продукцию из каталога Locinox, сроки поставки и цену узнавайте в отделах продаж</t>
  </si>
  <si>
    <t>Locinox - Элементы ограждений</t>
  </si>
  <si>
    <t>60 мм</t>
  </si>
  <si>
    <t>Комплект: Врезной замок FORTYLOCK*</t>
  </si>
  <si>
    <t xml:space="preserve">FORTYLOCKSET40ALUSTD </t>
  </si>
  <si>
    <t>40 мм</t>
  </si>
  <si>
    <t>3012-54-STD-VSZ, 3 штуки</t>
  </si>
  <si>
    <t>Ответная планка SHKM</t>
  </si>
  <si>
    <r>
      <t xml:space="preserve">Фланец приваренный оцинкованный с полимерным покрытием
</t>
    </r>
    <r>
      <rPr>
        <i/>
        <sz val="16"/>
        <rFont val="Arial"/>
        <family val="2"/>
        <charset val="204"/>
      </rPr>
      <t xml:space="preserve">Внимание! 
Возможно </t>
    </r>
    <r>
      <rPr>
        <i/>
        <u/>
        <sz val="16"/>
        <rFont val="Arial"/>
        <family val="2"/>
        <charset val="204"/>
      </rPr>
      <t>только</t>
    </r>
    <r>
      <rPr>
        <i/>
        <sz val="16"/>
        <rFont val="Arial"/>
        <family val="2"/>
        <charset val="204"/>
      </rPr>
      <t xml:space="preserve"> для столбов высотой </t>
    </r>
    <r>
      <rPr>
        <i/>
        <u/>
        <sz val="16"/>
        <rFont val="Arial"/>
        <family val="2"/>
        <charset val="204"/>
      </rPr>
      <t>до 3 метров</t>
    </r>
  </si>
  <si>
    <r>
      <t xml:space="preserve">Усиление фланца косынками
</t>
    </r>
    <r>
      <rPr>
        <i/>
        <sz val="16"/>
        <rFont val="Arial"/>
        <family val="2"/>
        <charset val="204"/>
      </rPr>
      <t xml:space="preserve">Внимание! Обязательно для столбов высотой </t>
    </r>
    <r>
      <rPr>
        <i/>
        <u/>
        <sz val="16"/>
        <rFont val="Arial"/>
        <family val="2"/>
        <charset val="204"/>
      </rPr>
      <t>более 3 метров</t>
    </r>
  </si>
  <si>
    <t>руб</t>
  </si>
  <si>
    <t>1 шт</t>
  </si>
  <si>
    <t>Крепление к столбам ворот / калиток</t>
  </si>
  <si>
    <t>Расчет стоимости столбов с фланцами:</t>
  </si>
  <si>
    <t>стоимость столба + стоимость фланца + стоимость усиления фланца</t>
  </si>
  <si>
    <t>1,0 - 2,4 м</t>
  </si>
  <si>
    <t>2,4 - 3,0 м</t>
  </si>
  <si>
    <t>3,0 - 4,0 м</t>
  </si>
  <si>
    <t>сечение столба</t>
  </si>
  <si>
    <t>60х60х2,0 мм</t>
  </si>
  <si>
    <t>62х55х1,4 мм</t>
  </si>
  <si>
    <t>80х80х2,0 мм</t>
  </si>
  <si>
    <t>90х55х1,6 мм</t>
  </si>
  <si>
    <t>не применяется</t>
  </si>
  <si>
    <r>
      <t xml:space="preserve">фланец без усиления 
</t>
    </r>
    <r>
      <rPr>
        <sz val="14"/>
        <rFont val="Arial"/>
        <family val="2"/>
        <charset val="204"/>
      </rPr>
      <t>не применяется</t>
    </r>
    <r>
      <rPr>
        <b/>
        <sz val="14"/>
        <rFont val="Arial"/>
        <family val="2"/>
        <charset val="204"/>
      </rPr>
      <t xml:space="preserve">
фланец усиленный 
</t>
    </r>
    <r>
      <rPr>
        <sz val="14"/>
        <rFont val="Arial"/>
        <family val="2"/>
        <charset val="204"/>
      </rPr>
      <t>1-2 ветровые районы</t>
    </r>
  </si>
  <si>
    <r>
      <t>Типы местности:
"</t>
    </r>
    <r>
      <rPr>
        <sz val="16"/>
        <rFont val="Arial"/>
        <family val="2"/>
        <charset val="204"/>
      </rPr>
      <t>А" - открытые побережья морей, озёр и водохранилищ, пустыни, степи, лесостепи, тундра
"B" - городские территории, лесные массивы и другие местности равномерно покрытые препятствиями высотой не более 10 метров
"С" - городские районы с застройкой зданиями высотой более 25 метров</t>
    </r>
  </si>
  <si>
    <t>Расчет проводился для ограждения шириной 2,5 метра при типе местности B</t>
  </si>
  <si>
    <t>для столбов высотой от 4,0 метров выполняется индивидуальный расчёт</t>
  </si>
  <si>
    <t>высота столба</t>
  </si>
  <si>
    <t>Применение фланцев для панельного ограждения с шириной пролёта 2,5 м:</t>
  </si>
  <si>
    <r>
      <rPr>
        <b/>
        <sz val="14"/>
        <rFont val="Arial"/>
        <family val="2"/>
        <charset val="204"/>
      </rPr>
      <t xml:space="preserve">фланец без усиления </t>
    </r>
    <r>
      <rPr>
        <sz val="14"/>
        <rFont val="Arial"/>
        <family val="2"/>
        <charset val="204"/>
      </rPr>
      <t xml:space="preserve">
1-7 ветровые районы</t>
    </r>
  </si>
  <si>
    <r>
      <t xml:space="preserve">фланец без усиления 
</t>
    </r>
    <r>
      <rPr>
        <sz val="14"/>
        <rFont val="Arial"/>
        <family val="2"/>
        <charset val="204"/>
      </rPr>
      <t>1-3 ветровые районы</t>
    </r>
    <r>
      <rPr>
        <b/>
        <sz val="14"/>
        <rFont val="Arial"/>
        <family val="2"/>
        <charset val="204"/>
      </rPr>
      <t xml:space="preserve">
фланец усиленный 
</t>
    </r>
    <r>
      <rPr>
        <sz val="14"/>
        <rFont val="Arial"/>
        <family val="2"/>
        <charset val="204"/>
      </rPr>
      <t>4 ветровой район</t>
    </r>
  </si>
  <si>
    <r>
      <t xml:space="preserve">фланец без усиления 
</t>
    </r>
    <r>
      <rPr>
        <sz val="14"/>
        <rFont val="Arial"/>
        <family val="2"/>
        <charset val="204"/>
      </rPr>
      <t>1-3 ветровые районы</t>
    </r>
    <r>
      <rPr>
        <b/>
        <sz val="14"/>
        <rFont val="Arial"/>
        <family val="2"/>
        <charset val="204"/>
      </rPr>
      <t xml:space="preserve">
фланец усиленный 
</t>
    </r>
    <r>
      <rPr>
        <sz val="14"/>
        <rFont val="Arial"/>
        <family val="2"/>
        <charset val="204"/>
      </rPr>
      <t>4-6 ветровые районы</t>
    </r>
  </si>
  <si>
    <r>
      <t xml:space="preserve">фланец без усиления 
</t>
    </r>
    <r>
      <rPr>
        <sz val="14"/>
        <rFont val="Arial"/>
        <family val="2"/>
        <charset val="204"/>
      </rPr>
      <t>1й ветровой район</t>
    </r>
    <r>
      <rPr>
        <b/>
        <sz val="14"/>
        <rFont val="Arial"/>
        <family val="2"/>
        <charset val="204"/>
      </rPr>
      <t xml:space="preserve">
фланец усиленный 
2</t>
    </r>
    <r>
      <rPr>
        <sz val="14"/>
        <rFont val="Arial"/>
        <family val="2"/>
        <charset val="204"/>
      </rPr>
      <t>-4 ветровые районы</t>
    </r>
  </si>
  <si>
    <r>
      <t xml:space="preserve">фланец без усиления 
</t>
    </r>
    <r>
      <rPr>
        <sz val="14"/>
        <rFont val="Arial"/>
        <family val="2"/>
        <charset val="204"/>
      </rPr>
      <t>1-4 ветровые районы</t>
    </r>
    <r>
      <rPr>
        <b/>
        <sz val="14"/>
        <rFont val="Arial"/>
        <family val="2"/>
        <charset val="204"/>
      </rPr>
      <t xml:space="preserve">
фланец усиленный 
5</t>
    </r>
    <r>
      <rPr>
        <sz val="14"/>
        <rFont val="Arial"/>
        <family val="2"/>
        <charset val="204"/>
      </rPr>
      <t>-6 ветровые районы</t>
    </r>
  </si>
  <si>
    <r>
      <t xml:space="preserve">фланец без усиления 
</t>
    </r>
    <r>
      <rPr>
        <sz val="14"/>
        <rFont val="Arial"/>
        <family val="2"/>
        <charset val="204"/>
      </rPr>
      <t>1й ветровой район</t>
    </r>
    <r>
      <rPr>
        <b/>
        <sz val="14"/>
        <rFont val="Arial"/>
        <family val="2"/>
        <charset val="204"/>
      </rPr>
      <t xml:space="preserve">
фланец усиленный 
</t>
    </r>
    <r>
      <rPr>
        <sz val="14"/>
        <rFont val="Arial"/>
        <family val="2"/>
        <charset val="204"/>
      </rPr>
      <t>2-4 ветровые районы</t>
    </r>
  </si>
  <si>
    <t>RAL:
3005
6005
8017</t>
  </si>
  <si>
    <t>Дополнительные элементы для монтажа откатных ворот на Кирпичные столбы</t>
  </si>
  <si>
    <t>Кронштейн крепления нижнего и верхнего ловителей</t>
  </si>
  <si>
    <t>Кронштейн крепления поддерживающих роликов</t>
  </si>
  <si>
    <t>2 шт 
на один проём</t>
  </si>
  <si>
    <t>1 шт
на один проём</t>
  </si>
  <si>
    <t>Диаметр проволоки, мм</t>
  </si>
  <si>
    <t>Наконечник L Medium</t>
  </si>
  <si>
    <t>Наконечник V Medium</t>
  </si>
  <si>
    <r>
      <t>Крепление хомут 51 мм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(комплектация: хомут 51 - 1 шт; крепление для рулонной сетки - 1 шт; болт М6х25 с круглой головкой - 1 шт; шайба А6 - 1 шт; гайка М6 - 1шт)</t>
    </r>
  </si>
  <si>
    <t>оцинкованное + с полимерным покрытием</t>
  </si>
  <si>
    <r>
      <t xml:space="preserve">При заказе откатных ворот Profi и Bastion необходимо указать сторону отката ворот: вправо или влево. Сторона откатывания определяется </t>
    </r>
    <r>
      <rPr>
        <b/>
        <u/>
        <sz val="16"/>
        <color indexed="10"/>
        <rFont val="Arial"/>
        <family val="2"/>
        <charset val="204"/>
      </rPr>
      <t>при взгляде со стороны улицы</t>
    </r>
    <r>
      <rPr>
        <b/>
        <sz val="16"/>
        <color indexed="10"/>
        <rFont val="Arial"/>
        <family val="2"/>
        <charset val="204"/>
      </rPr>
      <t>.</t>
    </r>
  </si>
  <si>
    <t>1,74 х 3,1</t>
  </si>
  <si>
    <t>0,51 x 1,95</t>
  </si>
  <si>
    <t>Панель временного ограждения - 1 шт</t>
  </si>
  <si>
    <t>Столб временного ограждения 51 х 1,2 - 2 шт</t>
  </si>
  <si>
    <r>
      <t>Распашные ворота и калитки Grand Line</t>
    </r>
    <r>
      <rPr>
        <b/>
        <vertAlign val="superscript"/>
        <sz val="20"/>
        <color indexed="10"/>
        <rFont val="Arial Cyr"/>
        <charset val="204"/>
      </rPr>
      <t>®</t>
    </r>
  </si>
  <si>
    <t>Изображение</t>
  </si>
  <si>
    <t xml:space="preserve">Проушины для навесного замка </t>
  </si>
  <si>
    <t>зеленый RAL 6005
черный RAL 9005</t>
  </si>
  <si>
    <t>Карта Medium
(без ребер жесткости)</t>
  </si>
  <si>
    <t>Комплект ворот и калитки 
Medium NoLock (без замка)</t>
  </si>
  <si>
    <t>NoLock</t>
  </si>
  <si>
    <t>Lock</t>
  </si>
  <si>
    <t xml:space="preserve">Карта Medium
(без ребер жесткости) </t>
  </si>
  <si>
    <t>Комплект ворот и калитки 
Medium Lock (с замком)</t>
  </si>
  <si>
    <t>Доступные на складе размеры и цвета ворот и калиток Bastion и Protect уточняйте у менеджера</t>
  </si>
  <si>
    <t>№ 2</t>
  </si>
  <si>
    <t>№ 1</t>
  </si>
  <si>
    <t>№ 2,3</t>
  </si>
  <si>
    <t>Ширина ворот</t>
  </si>
  <si>
    <t>5,0 - 9,0м</t>
  </si>
  <si>
    <t>Кронштейн для 
датчика ДПМГ</t>
  </si>
  <si>
    <t>зеленый RAL 6005
серый RAL 7040
черный RAL 9005</t>
  </si>
  <si>
    <t>1,09 (треуг)
1,28 (прям)</t>
  </si>
  <si>
    <t>Рулонная сетка</t>
  </si>
  <si>
    <t>2,10 - 2,20</t>
  </si>
  <si>
    <r>
      <t xml:space="preserve">Вес, кг/шт.
</t>
    </r>
    <r>
      <rPr>
        <b/>
        <i/>
        <sz val="16"/>
        <rFont val="Arial"/>
        <family val="2"/>
        <charset val="204"/>
      </rPr>
      <t>(примерно)</t>
    </r>
  </si>
  <si>
    <t>25 х 123 мм</t>
  </si>
  <si>
    <t>в бухте 10 п.м., бухта в упакована в полипропилен рукав</t>
  </si>
  <si>
    <t>20 шт / поддон</t>
  </si>
  <si>
    <r>
      <t>СББ диаметр 500/3</t>
    </r>
    <r>
      <rPr>
        <sz val="16"/>
        <rFont val="Arial"/>
        <family val="2"/>
        <charset val="204"/>
      </rPr>
      <t xml:space="preserve"> (4 витка на п.м.)</t>
    </r>
  </si>
  <si>
    <r>
      <t>СББ диаметр 500/5</t>
    </r>
    <r>
      <rPr>
        <sz val="16"/>
        <rFont val="Arial"/>
        <family val="2"/>
        <charset val="204"/>
      </rPr>
      <t xml:space="preserve"> (6,2 витка на п.м.) Индивид Упак*</t>
    </r>
  </si>
  <si>
    <r>
      <t>СББ диаметр 500/5</t>
    </r>
    <r>
      <rPr>
        <sz val="16"/>
        <rFont val="Arial"/>
        <family val="2"/>
        <charset val="204"/>
      </rPr>
      <t xml:space="preserve"> (6,2 витка на п.м.)**</t>
    </r>
  </si>
  <si>
    <r>
      <t>СББ диаметр 600/5</t>
    </r>
    <r>
      <rPr>
        <sz val="16"/>
        <rFont val="Arial"/>
        <family val="2"/>
        <charset val="204"/>
      </rPr>
      <t xml:space="preserve"> (6,2 витка на п.м.)</t>
    </r>
  </si>
  <si>
    <r>
      <t>СББ диаметр 900/5</t>
    </r>
    <r>
      <rPr>
        <sz val="16"/>
        <rFont val="Arial"/>
        <family val="2"/>
        <charset val="204"/>
      </rPr>
      <t xml:space="preserve"> (4,2 витка на п.м.)</t>
    </r>
  </si>
  <si>
    <r>
      <t>ПББ диаметр 500</t>
    </r>
    <r>
      <rPr>
        <sz val="16"/>
        <rFont val="Arial"/>
        <family val="2"/>
        <charset val="204"/>
      </rPr>
      <t xml:space="preserve"> (4,4 витка на п.м.)</t>
    </r>
  </si>
  <si>
    <r>
      <t>ПББ диаметр 600</t>
    </r>
    <r>
      <rPr>
        <sz val="16"/>
        <rFont val="Arial"/>
        <family val="2"/>
        <charset val="204"/>
      </rPr>
      <t xml:space="preserve"> (4,4 витка на п.м.)</t>
    </r>
  </si>
  <si>
    <r>
      <t>ПББ диаметр 900</t>
    </r>
    <r>
      <rPr>
        <sz val="16"/>
        <rFont val="Arial"/>
        <family val="2"/>
        <charset val="204"/>
      </rPr>
      <t xml:space="preserve"> (4,4 витка на п.м.)</t>
    </r>
  </si>
  <si>
    <r>
      <t xml:space="preserve"> GAM12 130 мм</t>
    </r>
    <r>
      <rPr>
        <sz val="16"/>
        <rFont val="Arial"/>
        <family val="2"/>
        <charset val="204"/>
      </rPr>
      <t xml:space="preserve"> (для калиток Эконом)</t>
    </r>
  </si>
  <si>
    <r>
      <t xml:space="preserve"> GAM12 150 мм</t>
    </r>
    <r>
      <rPr>
        <sz val="16"/>
        <rFont val="Arial"/>
        <family val="2"/>
        <charset val="204"/>
      </rPr>
      <t xml:space="preserve"> (для ворот Эконом)</t>
    </r>
  </si>
  <si>
    <t>87,2 х 90,9</t>
  </si>
  <si>
    <r>
      <t xml:space="preserve">Панель BASTION 5/6
</t>
    </r>
    <r>
      <rPr>
        <b/>
        <sz val="16"/>
        <color indexed="10"/>
        <rFont val="Arial"/>
        <family val="2"/>
        <charset val="204"/>
      </rPr>
      <t>Оцинкованная или 
Оцинкованная с Полимерным покрытием</t>
    </r>
    <r>
      <rPr>
        <b/>
        <sz val="16"/>
        <rFont val="Arial"/>
        <family val="2"/>
        <charset val="204"/>
      </rPr>
      <t xml:space="preserve">
</t>
    </r>
    <r>
      <rPr>
        <b/>
        <sz val="16"/>
        <color indexed="63"/>
        <rFont val="Arial"/>
        <family val="2"/>
        <charset val="204"/>
      </rPr>
      <t xml:space="preserve">ячейка основная 200х55 мм 
диаметр оцинкованного прутка 
</t>
    </r>
    <r>
      <rPr>
        <b/>
        <sz val="14"/>
        <color indexed="63"/>
        <rFont val="Arial"/>
        <family val="2"/>
        <charset val="204"/>
      </rPr>
      <t>вертикального 4,8 мм 
горизонтального 5,8 мм</t>
    </r>
  </si>
  <si>
    <r>
      <t xml:space="preserve">Панель BASTION 6/8
</t>
    </r>
    <r>
      <rPr>
        <b/>
        <sz val="16"/>
        <color indexed="10"/>
        <rFont val="Arial"/>
        <family val="2"/>
        <charset val="204"/>
      </rPr>
      <t>Оцинкованная или 
Оцинкованная с Полимерным покрытием</t>
    </r>
    <r>
      <rPr>
        <b/>
        <sz val="16"/>
        <rFont val="Arial"/>
        <family val="2"/>
        <charset val="204"/>
      </rPr>
      <t xml:space="preserve">
</t>
    </r>
    <r>
      <rPr>
        <b/>
        <sz val="16"/>
        <color indexed="63"/>
        <rFont val="Arial"/>
        <family val="2"/>
        <charset val="204"/>
      </rPr>
      <t xml:space="preserve">ячейка основная 200х55 мм 
диаметр оцинкованного прутка
</t>
    </r>
    <r>
      <rPr>
        <b/>
        <sz val="14"/>
        <color indexed="63"/>
        <rFont val="Arial"/>
        <family val="2"/>
        <charset val="204"/>
      </rPr>
      <t>вертикального 5,8 мм 
горизонтального 8,0 мм</t>
    </r>
    <r>
      <rPr>
        <b/>
        <u/>
        <sz val="14"/>
        <color indexed="63"/>
        <rFont val="Arial"/>
        <family val="2"/>
        <charset val="204"/>
      </rPr>
      <t/>
    </r>
  </si>
  <si>
    <r>
      <rPr>
        <b/>
        <vertAlign val="superscript"/>
        <sz val="16"/>
        <rFont val="Arial"/>
        <family val="2"/>
        <charset val="204"/>
      </rPr>
      <t>2</t>
    </r>
    <r>
      <rPr>
        <vertAlign val="superscript"/>
        <sz val="16"/>
        <rFont val="Arial"/>
        <family val="2"/>
        <charset val="204"/>
      </rPr>
      <t xml:space="preserve"> </t>
    </r>
    <r>
      <rPr>
        <b/>
        <sz val="16"/>
        <rFont val="Arial"/>
        <family val="2"/>
        <charset val="204"/>
      </rPr>
      <t xml:space="preserve">Заказы на ограждения Barrier </t>
    </r>
    <r>
      <rPr>
        <sz val="16"/>
        <rFont val="Arial"/>
        <family val="2"/>
        <charset val="204"/>
      </rPr>
      <t>принимаются в количестве</t>
    </r>
    <r>
      <rPr>
        <b/>
        <sz val="16"/>
        <rFont val="Arial"/>
        <family val="2"/>
        <charset val="204"/>
      </rPr>
      <t xml:space="preserve"> от 300 шт</t>
    </r>
  </si>
  <si>
    <r>
      <rPr>
        <b/>
        <sz val="14"/>
        <rFont val="Arial"/>
        <family val="2"/>
        <charset val="204"/>
      </rPr>
      <t xml:space="preserve">Ворота: </t>
    </r>
    <r>
      <rPr>
        <sz val="14"/>
        <rFont val="Arial"/>
        <family val="2"/>
        <charset val="204"/>
      </rPr>
      <t>2 створки, 2 столба, регулируемые петли (угол открывания 180</t>
    </r>
    <r>
      <rPr>
        <sz val="14"/>
        <rFont val="Open Sans"/>
        <family val="2"/>
        <charset val="204"/>
      </rPr>
      <t xml:space="preserve">°), </t>
    </r>
    <r>
      <rPr>
        <sz val="14"/>
        <rFont val="Arial"/>
        <family val="2"/>
        <charset val="204"/>
      </rPr>
      <t>замок Locinox, ответная планка, 2 ригеля Locinox</t>
    </r>
    <r>
      <rPr>
        <b/>
        <sz val="14"/>
        <rFont val="Arial"/>
        <family val="2"/>
        <charset val="204"/>
      </rPr>
      <t xml:space="preserve">
Калитка: </t>
    </r>
    <r>
      <rPr>
        <sz val="14"/>
        <rFont val="Arial"/>
        <family val="2"/>
        <charset val="204"/>
      </rPr>
      <t>1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створка, 2 столба, регулируемые петли (угол открывания 180</t>
    </r>
    <r>
      <rPr>
        <sz val="14"/>
        <rFont val="Open Sans"/>
        <family val="2"/>
        <charset val="204"/>
      </rPr>
      <t xml:space="preserve">°), </t>
    </r>
    <r>
      <rPr>
        <sz val="14"/>
        <rFont val="Arial"/>
        <family val="2"/>
        <charset val="204"/>
      </rPr>
      <t>ответная планка, замок Locinox</t>
    </r>
  </si>
  <si>
    <t>на складе</t>
  </si>
  <si>
    <t xml:space="preserve">Столб оцинкованный с полимерным покрытием с заглушкой                                                                                                                                                                                                            </t>
  </si>
  <si>
    <t>столб 62х55 - 50
столб 80х80, 90х55 - 40</t>
  </si>
  <si>
    <t>3012-80-STD-VSZ, 3 штуки</t>
  </si>
  <si>
    <t>3006M-H,   алюминий</t>
  </si>
  <si>
    <t>3006M-H, алюминий</t>
  </si>
  <si>
    <t>3020-HYB-ALU, Полиамид</t>
  </si>
  <si>
    <t>Ответная планка SFKI-QF40</t>
  </si>
  <si>
    <t>Рулонов на поддоне</t>
  </si>
  <si>
    <t>16 шт</t>
  </si>
  <si>
    <r>
      <t>Доводчик гидравлический для петель на 90</t>
    </r>
    <r>
      <rPr>
        <sz val="16"/>
        <color indexed="8"/>
        <rFont val="Open Sans"/>
        <family val="2"/>
        <charset val="204"/>
      </rPr>
      <t>°</t>
    </r>
    <r>
      <rPr>
        <sz val="16"/>
        <color indexed="8"/>
        <rFont val="Calibri"/>
        <family val="2"/>
        <charset val="204"/>
      </rPr>
      <t xml:space="preserve"> </t>
    </r>
    <r>
      <rPr>
        <sz val="16"/>
        <color indexed="8"/>
        <rFont val="Arial"/>
        <family val="2"/>
        <charset val="204"/>
      </rPr>
      <t>или 180</t>
    </r>
    <r>
      <rPr>
        <sz val="16"/>
        <color indexed="8"/>
        <rFont val="Open Sans"/>
        <family val="2"/>
        <charset val="204"/>
      </rPr>
      <t>°</t>
    </r>
  </si>
  <si>
    <t>3,0 - 4,5м</t>
  </si>
  <si>
    <t>нестандартный размер ячеек (стандарт 200х55 мм)</t>
  </si>
  <si>
    <t>РАСПРОДАЖА</t>
  </si>
  <si>
    <t>особенности</t>
  </si>
  <si>
    <t>Панели</t>
  </si>
  <si>
    <t>Категория</t>
  </si>
  <si>
    <r>
      <t>Ограждение Protect</t>
    </r>
    <r>
      <rPr>
        <b/>
        <vertAlign val="superscript"/>
        <sz val="16"/>
        <rFont val="Arial"/>
        <family val="2"/>
        <charset val="204"/>
      </rPr>
      <t>1</t>
    </r>
  </si>
  <si>
    <t>Вес панели с покрытием, кг</t>
  </si>
  <si>
    <t>цена 1 кг</t>
  </si>
  <si>
    <t>столбы 60х40</t>
  </si>
  <si>
    <t>панели, столбы D51, укосины, крепления</t>
  </si>
  <si>
    <t>рулонная сетка</t>
  </si>
  <si>
    <t>Сваи забивные, Винтопоры</t>
  </si>
  <si>
    <t>СББ, ПББ, струна, проволка вязальная</t>
  </si>
  <si>
    <t>Все позиции, кроме свай, опор, сбб, пбб, строуны, проволки вязальной</t>
  </si>
  <si>
    <t>Автоматика и комплектующие</t>
  </si>
  <si>
    <t>1,05 х 0,67 х 0,051</t>
  </si>
  <si>
    <t>толщ. стали - 3,0 мм</t>
  </si>
  <si>
    <t>Откатные ворота без рамок - для установки на кирпичные или другие готовые столбы</t>
  </si>
  <si>
    <r>
      <t xml:space="preserve">Отдельно приобретать кронштейны для кирпичных столбов </t>
    </r>
    <r>
      <rPr>
        <u/>
        <sz val="16"/>
        <color indexed="10"/>
        <rFont val="Arial"/>
        <family val="2"/>
        <charset val="204"/>
      </rPr>
      <t>не</t>
    </r>
    <r>
      <rPr>
        <sz val="16"/>
        <color indexed="10"/>
        <rFont val="Arial"/>
        <family val="2"/>
        <charset val="204"/>
      </rPr>
      <t xml:space="preserve"> нужно (входит в п.2 комплекта)</t>
    </r>
  </si>
  <si>
    <t>Клипсатор, штрих-корретор</t>
  </si>
  <si>
    <t>Ворота Profi, Bastion, Protect</t>
  </si>
  <si>
    <t>Замок Locinox</t>
  </si>
  <si>
    <t>Ворота и калитки Profi, Bation, Medium</t>
  </si>
  <si>
    <r>
      <t xml:space="preserve">Секция временного ограждения
</t>
    </r>
    <r>
      <rPr>
        <b/>
        <sz val="16"/>
        <color indexed="10"/>
        <rFont val="Arial"/>
        <family val="2"/>
        <charset val="204"/>
      </rPr>
      <t xml:space="preserve">Practic*
</t>
    </r>
    <r>
      <rPr>
        <i/>
        <sz val="16"/>
        <rFont val="Arial"/>
        <family val="2"/>
        <charset val="204"/>
      </rPr>
      <t xml:space="preserve">без рамки </t>
    </r>
  </si>
  <si>
    <t>Наконечник прямой 500 мм</t>
  </si>
  <si>
    <t>Наконечник прямой 900 мм</t>
  </si>
  <si>
    <r>
      <t xml:space="preserve">Крепление скоба - болт
</t>
    </r>
    <r>
      <rPr>
        <sz val="12"/>
        <rFont val="Arial"/>
        <family val="2"/>
        <charset val="204"/>
      </rPr>
      <t>(болт М6*25/85/100/110 + гайка антивандальная М6)</t>
    </r>
  </si>
  <si>
    <r>
      <t xml:space="preserve">Крепление хомут, Крепление хомут крайний 
</t>
    </r>
    <r>
      <rPr>
        <sz val="12"/>
        <rFont val="Arial"/>
        <family val="2"/>
        <charset val="204"/>
      </rPr>
      <t>(укомплектован антивандальными гайками М6)</t>
    </r>
  </si>
  <si>
    <t>Переключатель замковый EKS</t>
  </si>
  <si>
    <t>Пульт ДУ 2к с динамическим кодом FLO2R-S</t>
  </si>
  <si>
    <t>Гайка антивандальная М6</t>
  </si>
  <si>
    <t>нерж</t>
  </si>
  <si>
    <r>
      <t>Кронштейн для уличного освещения</t>
    </r>
    <r>
      <rPr>
        <b/>
        <sz val="16"/>
        <color indexed="10"/>
        <rFont val="Arial"/>
        <family val="2"/>
        <charset val="204"/>
      </rPr>
      <t xml:space="preserve"> к столбу 80х80</t>
    </r>
  </si>
  <si>
    <t>Рекомендованная розничная цена, руб/шт</t>
  </si>
  <si>
    <t>Панель Эстет</t>
  </si>
  <si>
    <t>2,5 м</t>
  </si>
  <si>
    <t>3,0 м</t>
  </si>
  <si>
    <r>
      <t xml:space="preserve">Панель LIGHT 
Оцинкованные или 
Оцинкованные с Полимерным покрытием
</t>
    </r>
    <r>
      <rPr>
        <b/>
        <sz val="16"/>
        <color indexed="63"/>
        <rFont val="Arial"/>
        <family val="2"/>
        <charset val="204"/>
      </rPr>
      <t xml:space="preserve">ячейка основная 200х55 мм  
</t>
    </r>
    <r>
      <rPr>
        <b/>
        <sz val="14"/>
        <color indexed="63"/>
        <rFont val="Arial"/>
        <family val="2"/>
        <charset val="204"/>
      </rPr>
      <t>диаметр оцинкованного прутка 3,3 мм</t>
    </r>
    <r>
      <rPr>
        <b/>
        <sz val="16"/>
        <color indexed="63"/>
        <rFont val="Arial"/>
        <family val="2"/>
        <charset val="204"/>
      </rPr>
      <t xml:space="preserve">
</t>
    </r>
    <r>
      <rPr>
        <b/>
        <sz val="14"/>
        <color indexed="63"/>
        <rFont val="Arial"/>
        <family val="2"/>
        <charset val="204"/>
      </rPr>
      <t>диаметр прутка с полимерным покрытием 3,5 мм</t>
    </r>
  </si>
  <si>
    <t>высота стоек 84х48</t>
  </si>
  <si>
    <t>высота столбов 62х55</t>
  </si>
  <si>
    <t>Розничная цена, руб/шт</t>
  </si>
  <si>
    <t>Рекомендованная розничная цена за 1 панель, руб/шт</t>
  </si>
  <si>
    <t>цены на Окрашенные столбы 62х55 и 90х55 см. на странице "Элементы панельных ограждений-1"</t>
  </si>
  <si>
    <t>Все цены указаны с НДС на складе завода Grand Line</t>
  </si>
  <si>
    <t>Калитка 
Medium New</t>
  </si>
  <si>
    <t>Ворота 
Medium New</t>
  </si>
  <si>
    <r>
      <t xml:space="preserve">Цена за 1 п.м. комплекта, руб. 
</t>
    </r>
    <r>
      <rPr>
        <b/>
        <sz val="16"/>
        <color indexed="10"/>
        <rFont val="Arial"/>
        <family val="2"/>
        <charset val="204"/>
      </rPr>
      <t>Внимание! Расчет теоретический</t>
    </r>
    <r>
      <rPr>
        <b/>
        <sz val="16"/>
        <rFont val="Arial"/>
        <family val="2"/>
        <charset val="204"/>
      </rPr>
      <t>.
Продажа ведется по ЭЛЕМЕНТАМ и расчет по конкретному участку будет отличаться!</t>
    </r>
  </si>
  <si>
    <t>Ежемесячная покраска цветов RAL 1021, 3005, 5005, 7016, 7024 по графику не более одного раза в месяц, сроки уточняйте у вашего менеджера</t>
  </si>
  <si>
    <t xml:space="preserve">Все цены указаны с НДС на складе завода Grand Line </t>
  </si>
  <si>
    <t>Все цены с НДС на складе завода Grand Line</t>
  </si>
  <si>
    <t>руб/кг</t>
  </si>
  <si>
    <t>к. высоты</t>
  </si>
  <si>
    <t>Комплект откатных ворот для установки на готовые столбы</t>
  </si>
  <si>
    <t>2,0 x 3,45</t>
  </si>
  <si>
    <t>Декораивное полотно</t>
  </si>
  <si>
    <t>RAL 1013, RAL 1014, RAL 8017</t>
  </si>
  <si>
    <t>стандартные</t>
  </si>
  <si>
    <t>RAL 3005, RAL 6005</t>
  </si>
  <si>
    <t>Цвета ограждений</t>
  </si>
  <si>
    <t>к.высоты</t>
  </si>
  <si>
    <t>Вкладыш скобы GL</t>
  </si>
  <si>
    <t>Розничная цена, 
руб/шт</t>
  </si>
  <si>
    <t>При заказе  Панелей с ячейкой 100/150/200*50 к стоимости Панелей с ячейкой 100/150/200*55 применяется коэффициент 1,08</t>
  </si>
  <si>
    <r>
      <t>Заказы в стандартных цветах</t>
    </r>
    <r>
      <rPr>
        <sz val="16"/>
        <color indexed="8"/>
        <rFont val="Arial"/>
        <family val="2"/>
        <charset val="204"/>
      </rPr>
      <t xml:space="preserve"> принимаются</t>
    </r>
    <r>
      <rPr>
        <b/>
        <sz val="16"/>
        <color indexed="8"/>
        <rFont val="Arial"/>
        <family val="2"/>
        <charset val="204"/>
      </rPr>
      <t xml:space="preserve"> </t>
    </r>
    <r>
      <rPr>
        <sz val="16"/>
        <color indexed="8"/>
        <rFont val="Arial"/>
        <family val="2"/>
        <charset val="204"/>
      </rPr>
      <t>от 150 погонных метров</t>
    </r>
  </si>
  <si>
    <t>Цены указаны на стандартные цвета</t>
  </si>
  <si>
    <r>
      <rPr>
        <vertAlign val="superscript"/>
        <sz val="14"/>
        <rFont val="Arial"/>
        <family val="2"/>
        <charset val="204"/>
      </rPr>
      <t xml:space="preserve">1 </t>
    </r>
    <r>
      <rPr>
        <sz val="14"/>
        <rFont val="Arial"/>
        <family val="2"/>
        <charset val="204"/>
      </rPr>
      <t>Возможно производство калиток и ворот Bastion 5/6 (цена = стоимость калиток и ворот Profi + 10%)</t>
    </r>
  </si>
  <si>
    <t>позволяет создать створку ворот из секции ограждения</t>
  </si>
  <si>
    <r>
      <t xml:space="preserve">Крепление хомут
</t>
    </r>
    <r>
      <rPr>
        <sz val="12"/>
        <rFont val="Arial"/>
        <family val="2"/>
        <charset val="204"/>
      </rPr>
      <t>(укомплектован антивандальными гайками М6)</t>
    </r>
  </si>
  <si>
    <r>
      <t xml:space="preserve">Крепление хомут угловой, Крепление хомут крайний 
</t>
    </r>
    <r>
      <rPr>
        <sz val="12"/>
        <rFont val="Arial"/>
        <family val="2"/>
        <charset val="204"/>
      </rPr>
      <t>(укомплектован антивандальными гайками М6)</t>
    </r>
  </si>
  <si>
    <t>М6*25 - № 2
М6*85 - № 1,2,3,4
М6*110 - № 1,2,3,8</t>
  </si>
  <si>
    <t>6 втулок</t>
  </si>
  <si>
    <t>6 отверстий</t>
  </si>
  <si>
    <t>8 отверстий</t>
  </si>
  <si>
    <t>8 втулок</t>
  </si>
  <si>
    <t>цена отверстий / втулок</t>
  </si>
  <si>
    <t>коэф высоты</t>
  </si>
  <si>
    <t>Инструмент для монтажа винтопор</t>
  </si>
  <si>
    <t>RAL 7024, RAL 7040, RAL 8017</t>
  </si>
  <si>
    <t>0,6 х 0,27 х 0,130</t>
  </si>
  <si>
    <t>RAL 6005 (зеленый)</t>
  </si>
  <si>
    <t>1,95 х 5,0</t>
  </si>
  <si>
    <r>
      <t>Распашные ворота 
Profi / Bastion</t>
    </r>
    <r>
      <rPr>
        <vertAlign val="superscript"/>
        <sz val="16"/>
        <rFont val="Arial"/>
        <family val="2"/>
        <charset val="204"/>
      </rPr>
      <t xml:space="preserve">1 
</t>
    </r>
    <r>
      <rPr>
        <sz val="16"/>
        <rFont val="Arial"/>
        <family val="2"/>
        <charset val="204"/>
      </rPr>
      <t>Lock</t>
    </r>
  </si>
  <si>
    <r>
      <t>Калитка 
Profi / Bastion</t>
    </r>
    <r>
      <rPr>
        <vertAlign val="superscript"/>
        <sz val="16"/>
        <rFont val="Arial"/>
        <family val="2"/>
        <charset val="204"/>
      </rPr>
      <t xml:space="preserve">1
</t>
    </r>
    <r>
      <rPr>
        <sz val="16"/>
        <rFont val="Arial"/>
        <family val="2"/>
        <charset val="204"/>
      </rPr>
      <t>Lock</t>
    </r>
  </si>
  <si>
    <r>
      <t xml:space="preserve">Панель PROFI
</t>
    </r>
    <r>
      <rPr>
        <b/>
        <sz val="16"/>
        <color indexed="10"/>
        <rFont val="Arial"/>
        <family val="2"/>
        <charset val="204"/>
      </rPr>
      <t>Оцинкованная 
или 
Оцинкованная с Полимерным покрытием</t>
    </r>
    <r>
      <rPr>
        <b/>
        <sz val="16"/>
        <rFont val="Arial"/>
        <family val="2"/>
        <charset val="204"/>
      </rPr>
      <t xml:space="preserve">
</t>
    </r>
    <r>
      <rPr>
        <b/>
        <sz val="16"/>
        <color indexed="63"/>
        <rFont val="Arial"/>
        <family val="2"/>
        <charset val="204"/>
      </rPr>
      <t xml:space="preserve">ячейка основная 200х55 мм
диаметр прутка  
</t>
    </r>
    <r>
      <rPr>
        <b/>
        <sz val="14"/>
        <color indexed="63"/>
        <rFont val="Arial"/>
        <family val="2"/>
        <charset val="204"/>
      </rPr>
      <t>оцинкованного 4,8 мм
с полимерным покрытием 5,0 мм</t>
    </r>
  </si>
  <si>
    <r>
      <t xml:space="preserve">Панель MEDIUM
</t>
    </r>
    <r>
      <rPr>
        <b/>
        <sz val="16"/>
        <color indexed="10"/>
        <rFont val="Arial"/>
        <family val="2"/>
        <charset val="204"/>
      </rPr>
      <t>Оцинкованная 
или 
Оцинкованная с Полимерным покрытием</t>
    </r>
    <r>
      <rPr>
        <b/>
        <sz val="16"/>
        <rFont val="Arial"/>
        <family val="2"/>
        <charset val="204"/>
      </rPr>
      <t xml:space="preserve">
</t>
    </r>
    <r>
      <rPr>
        <b/>
        <sz val="16"/>
        <color indexed="63"/>
        <rFont val="Arial"/>
        <family val="2"/>
        <charset val="204"/>
      </rPr>
      <t xml:space="preserve">ячейка основная 200х55 мм
диаметр прутка  
</t>
    </r>
    <r>
      <rPr>
        <b/>
        <sz val="14"/>
        <color indexed="63"/>
        <rFont val="Arial"/>
        <family val="2"/>
        <charset val="204"/>
      </rPr>
      <t>оцинкованного 3,8 мм
с полимерным покрытием 4,0 мм</t>
    </r>
  </si>
  <si>
    <r>
      <t xml:space="preserve">Панель EXPERT
</t>
    </r>
    <r>
      <rPr>
        <b/>
        <sz val="16"/>
        <color indexed="10"/>
        <rFont val="Arial"/>
        <family val="2"/>
        <charset val="204"/>
      </rPr>
      <t>Оцинкованная 
или 
Оцинкованная с Полимерным покрытием</t>
    </r>
    <r>
      <rPr>
        <b/>
        <sz val="16"/>
        <rFont val="Arial"/>
        <family val="2"/>
        <charset val="204"/>
      </rPr>
      <t xml:space="preserve">
</t>
    </r>
    <r>
      <rPr>
        <b/>
        <sz val="16"/>
        <color indexed="63"/>
        <rFont val="Arial"/>
        <family val="2"/>
        <charset val="204"/>
      </rPr>
      <t xml:space="preserve">ячейка основная 200х55 мм
диаметр прутка  
</t>
    </r>
    <r>
      <rPr>
        <b/>
        <sz val="14"/>
        <color indexed="63"/>
        <rFont val="Arial"/>
        <family val="2"/>
        <charset val="204"/>
      </rPr>
      <t>оцинкованного 5,8 мм
с полимерным покрытием 6,0 мм</t>
    </r>
  </si>
  <si>
    <t>нестандартная высота
1 гиб посредине панели
нестандартный размер ячеек (стандарт 200х55 мм)</t>
  </si>
  <si>
    <r>
      <t xml:space="preserve">Profi 0,53x3,0 м
</t>
    </r>
    <r>
      <rPr>
        <b/>
        <sz val="16"/>
        <color rgb="FFFF0000"/>
        <rFont val="Arial"/>
        <family val="2"/>
        <charset val="204"/>
      </rPr>
      <t>ZN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200х50 мм</t>
    </r>
  </si>
  <si>
    <t>Панели FINE, LIGHT</t>
  </si>
  <si>
    <t>Ответная планка замка HYBRID 6060</t>
  </si>
  <si>
    <t>SHKM</t>
  </si>
  <si>
    <t>Ответная планка замка FORTYLOCK</t>
  </si>
  <si>
    <t>SFKI-QF40</t>
  </si>
  <si>
    <t>30 мм</t>
  </si>
  <si>
    <t>80 мм</t>
  </si>
  <si>
    <t>для ворот с массой створки до 100 кг</t>
  </si>
  <si>
    <t>для ворот с массой створки до 200 кг</t>
  </si>
  <si>
    <t>для ворот с массой створки до 300 кг</t>
  </si>
  <si>
    <t>мин 40 мм</t>
  </si>
  <si>
    <t>ход 140 мм</t>
  </si>
  <si>
    <t>регулировка по высоте +100 мм</t>
  </si>
  <si>
    <t>стопорная планка для ворот из профиля 40 - 60 мм</t>
  </si>
  <si>
    <t xml:space="preserve">для ригелей VSF VSA </t>
  </si>
  <si>
    <t>регулировка резинового отбойника 40 - 60 мм</t>
  </si>
  <si>
    <t>регулировка крюка +40 мм</t>
  </si>
  <si>
    <t>для створок 
массой до 150 кг и шириной до 1,5 м</t>
  </si>
  <si>
    <t>Размеры профиля установки</t>
  </si>
  <si>
    <t xml:space="preserve">№1 - в цинке   </t>
  </si>
  <si>
    <r>
      <t>Grand Line</t>
    </r>
    <r>
      <rPr>
        <b/>
        <vertAlign val="superscript"/>
        <sz val="18"/>
        <rFont val="Arial"/>
        <family val="2"/>
        <charset val="204"/>
      </rPr>
      <t>®</t>
    </r>
    <r>
      <rPr>
        <b/>
        <sz val="18"/>
        <rFont val="Arial"/>
        <family val="2"/>
        <charset val="204"/>
      </rPr>
      <t xml:space="preserve">
Estet</t>
    </r>
  </si>
  <si>
    <r>
      <t>Grand Line</t>
    </r>
    <r>
      <rPr>
        <b/>
        <vertAlign val="superscript"/>
        <sz val="18"/>
        <rFont val="Arial"/>
        <family val="2"/>
        <charset val="204"/>
      </rPr>
      <t>®</t>
    </r>
    <r>
      <rPr>
        <b/>
        <sz val="18"/>
        <rFont val="Arial"/>
        <family val="2"/>
        <charset val="204"/>
      </rPr>
      <t xml:space="preserve">
Estet Plus</t>
    </r>
  </si>
  <si>
    <t>Панель Estet 860*1600 (1970) мм - 3 шт.
Направляющая 60*20*2500 мм  - 2 шт.
Стойка 84*48*2500 (3000) мм  - 2 шт.
Крышка универсальная - 1 шт.</t>
  </si>
  <si>
    <t>Панель Estet 860*1600 (1970) мм - 3 шт.
Направляющая 60*20*2500 мм  - 3 шт.
Декоративное полотно 360*2500 мм -1 шт.
Стойка 84*48*2500 (3000) мм  - 2 шт.
Столб 90*55*3000 мм - 1 шт (для ограждения 2,4 м)
Крышка универсальная - 1 шт / Крышка - 2 шт.</t>
  </si>
  <si>
    <t>Панель Estet</t>
  </si>
  <si>
    <r>
      <t>Grand Line</t>
    </r>
    <r>
      <rPr>
        <b/>
        <vertAlign val="superscript"/>
        <sz val="18"/>
        <rFont val="Arial"/>
        <family val="2"/>
        <charset val="204"/>
      </rPr>
      <t>®</t>
    </r>
    <r>
      <rPr>
        <b/>
        <sz val="18"/>
        <rFont val="Arial"/>
        <family val="2"/>
        <charset val="204"/>
      </rPr>
      <t xml:space="preserve">
Colority</t>
    </r>
    <r>
      <rPr>
        <b/>
        <vertAlign val="superscript"/>
        <sz val="18"/>
        <rFont val="Arial"/>
        <family val="2"/>
        <charset val="204"/>
      </rPr>
      <t>®</t>
    </r>
    <r>
      <rPr>
        <b/>
        <sz val="18"/>
        <rFont val="Arial"/>
        <family val="2"/>
        <charset val="204"/>
      </rPr>
      <t xml:space="preserve"> Zinc</t>
    </r>
  </si>
  <si>
    <r>
      <t>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Zinc </t>
    </r>
    <r>
      <rPr>
        <sz val="14"/>
        <rFont val="Arial"/>
        <family val="2"/>
        <charset val="204"/>
      </rPr>
      <t>(для сеций шириной 2,5 м)</t>
    </r>
  </si>
  <si>
    <r>
      <t>Ворота и калитки 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Zinc</t>
    </r>
  </si>
  <si>
    <t>Estet и Estet Plus</t>
  </si>
  <si>
    <t>Estet*</t>
  </si>
  <si>
    <t>Estet Plus*</t>
  </si>
  <si>
    <r>
      <t>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Zinc</t>
    </r>
  </si>
  <si>
    <r>
      <t>Ворота Colority</t>
    </r>
    <r>
      <rPr>
        <vertAlign val="superscript"/>
        <sz val="18"/>
        <color theme="0"/>
        <rFont val="Arial"/>
        <family val="2"/>
        <charset val="204"/>
      </rPr>
      <t>®</t>
    </r>
    <r>
      <rPr>
        <sz val="18"/>
        <color theme="0"/>
        <rFont val="Arial"/>
        <family val="2"/>
        <charset val="204"/>
      </rPr>
      <t xml:space="preserve"> Zinc, Estet, Estet Plus</t>
    </r>
  </si>
  <si>
    <t>Калитка Estet</t>
  </si>
  <si>
    <t>Калитка Estet Plus</t>
  </si>
  <si>
    <t>Ворота Estet</t>
  </si>
  <si>
    <t>Ворота Estet Plus</t>
  </si>
  <si>
    <r>
      <t>Панель 
Profi / Bastion</t>
    </r>
    <r>
      <rPr>
        <vertAlign val="superscript"/>
        <sz val="16"/>
        <rFont val="Arial"/>
        <family val="2"/>
        <charset val="204"/>
      </rPr>
      <t>1</t>
    </r>
  </si>
  <si>
    <t>рбу/кг</t>
  </si>
  <si>
    <t>Крышка O-SET для 
ответной планки SSKZ QF</t>
  </si>
  <si>
    <t>1,5/20</t>
  </si>
  <si>
    <t>12 шт</t>
  </si>
  <si>
    <r>
      <rPr>
        <b/>
        <sz val="16"/>
        <color indexed="60"/>
        <rFont val="Arial"/>
        <family val="2"/>
        <charset val="204"/>
      </rPr>
      <t>Внимание!</t>
    </r>
    <r>
      <rPr>
        <b/>
        <sz val="16"/>
        <color indexed="8"/>
        <rFont val="Arial"/>
        <family val="2"/>
        <charset val="204"/>
      </rPr>
      <t xml:space="preserve">
Использование панелей Light возможно только в 1 - 3м снеговых районах РФ. Использование в районах с более высокой снеговой нагрузкой может привести к деформации панелей - провисание. </t>
    </r>
  </si>
  <si>
    <t>№2, с фланцем</t>
  </si>
  <si>
    <t>2,065 ПФ</t>
  </si>
  <si>
    <r>
      <t xml:space="preserve">Profi 1,23x3,1 м
</t>
    </r>
    <r>
      <rPr>
        <b/>
        <sz val="16"/>
        <color rgb="FFFF0000"/>
        <rFont val="Arial"/>
        <family val="2"/>
        <charset val="204"/>
      </rPr>
      <t>RAL 9005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230х55 мм</t>
    </r>
  </si>
  <si>
    <r>
      <t xml:space="preserve">Profi 1,53x3,1 м
</t>
    </r>
    <r>
      <rPr>
        <b/>
        <sz val="16"/>
        <color rgb="FFFF0000"/>
        <rFont val="Arial"/>
        <family val="2"/>
        <charset val="204"/>
      </rPr>
      <t>RAL 5005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230х55 мм</t>
    </r>
  </si>
  <si>
    <t>Столбы</t>
  </si>
  <si>
    <t>64*</t>
  </si>
  <si>
    <r>
      <t xml:space="preserve">* Отгрузка столбов длиной 5 м в контейнер:
</t>
    </r>
    <r>
      <rPr>
        <sz val="16"/>
        <rFont val="Arial"/>
        <family val="2"/>
        <charset val="204"/>
      </rPr>
      <t>- если в заказе до 320 шт, отгрузка со склада в стандартной упаковке.
- если в заказе больше 320 шт столбов, то необходимо делать упаковку под контейнер, стоимость и сроки переупаковки уточняйте у менеджера.</t>
    </r>
  </si>
  <si>
    <t>54*</t>
  </si>
  <si>
    <t>Цены нестандартныйх панелей полученные при пересчете по коэффициентам являются примерными. Точные цены только в счёте</t>
  </si>
  <si>
    <t>коэф ширины</t>
  </si>
  <si>
    <t>диам. нити - 3 мм
ячейка 40х40 мм
схема установки - "шторы"
(длина стороны площадки +15%)</t>
  </si>
  <si>
    <t>капрон</t>
  </si>
  <si>
    <t>3 шт на 
1 п.м. сетки</t>
  </si>
  <si>
    <t>1 комп. для каждой стороны площадки</t>
  </si>
  <si>
    <t>10 шт / поддон</t>
  </si>
  <si>
    <t>замок</t>
  </si>
  <si>
    <t>м.п.</t>
  </si>
  <si>
    <r>
      <t xml:space="preserve">Карабин
</t>
    </r>
    <r>
      <rPr>
        <sz val="14"/>
        <rFont val="Arial"/>
        <family val="2"/>
        <charset val="204"/>
      </rPr>
      <t>цена указана за 1 шт</t>
    </r>
  </si>
  <si>
    <r>
      <t xml:space="preserve">Трос М6
</t>
    </r>
    <r>
      <rPr>
        <sz val="14"/>
        <rFont val="Arial"/>
        <family val="2"/>
        <charset val="204"/>
      </rPr>
      <t>цена указана за 1 погонный метр</t>
    </r>
  </si>
  <si>
    <r>
      <t xml:space="preserve">Гасительная сетка высотой 3,5 м
</t>
    </r>
    <r>
      <rPr>
        <sz val="16"/>
        <rFont val="Arial"/>
        <family val="2"/>
        <charset val="204"/>
      </rPr>
      <t xml:space="preserve">(для ограждения высотой 3 м)
</t>
    </r>
    <r>
      <rPr>
        <sz val="14"/>
        <rFont val="Arial"/>
        <family val="2"/>
        <charset val="204"/>
      </rPr>
      <t>цена указана за 1 м</t>
    </r>
    <r>
      <rPr>
        <vertAlign val="superscript"/>
        <sz val="14"/>
        <rFont val="Arial"/>
        <family val="2"/>
        <charset val="204"/>
      </rPr>
      <t>2</t>
    </r>
  </si>
  <si>
    <r>
      <t xml:space="preserve">Гасительная сетка высотой 4,5 м
</t>
    </r>
    <r>
      <rPr>
        <sz val="16"/>
        <rFont val="Arial"/>
        <family val="2"/>
        <charset val="204"/>
      </rPr>
      <t xml:space="preserve">(для ограждения высотой 4 м)
</t>
    </r>
    <r>
      <rPr>
        <sz val="14"/>
        <rFont val="Arial"/>
        <family val="2"/>
        <charset val="204"/>
      </rPr>
      <t>цена указана за 1 м</t>
    </r>
    <r>
      <rPr>
        <vertAlign val="superscript"/>
        <sz val="14"/>
        <rFont val="Arial"/>
        <family val="2"/>
        <charset val="204"/>
      </rPr>
      <t>2</t>
    </r>
  </si>
  <si>
    <t>Ворота и калитки</t>
  </si>
  <si>
    <t>Розничная цена, руб</t>
  </si>
  <si>
    <t>Ворота Light</t>
  </si>
  <si>
    <t>Калитка Light</t>
  </si>
  <si>
    <t xml:space="preserve">№ 2 </t>
  </si>
  <si>
    <t>карта Fine 
(без ребер жесткости)</t>
  </si>
  <si>
    <r>
      <t xml:space="preserve">Примечание: </t>
    </r>
    <r>
      <rPr>
        <sz val="16"/>
        <color theme="1" tint="4.9989318521683403E-2"/>
        <rFont val="Arial"/>
        <family val="2"/>
        <charset val="204"/>
      </rPr>
      <t>поддерживаются на складе</t>
    </r>
  </si>
  <si>
    <r>
      <t xml:space="preserve">Панель FINE 
Оцинкованные с Полимерным покрытием
</t>
    </r>
    <r>
      <rPr>
        <b/>
        <sz val="16"/>
        <color indexed="63"/>
        <rFont val="Arial"/>
        <family val="2"/>
        <charset val="204"/>
      </rPr>
      <t xml:space="preserve">ячейка основная 235х60 мм
</t>
    </r>
    <r>
      <rPr>
        <b/>
        <sz val="14"/>
        <color indexed="63"/>
        <rFont val="Arial"/>
        <family val="2"/>
        <charset val="204"/>
      </rPr>
      <t>диаметр оцинкованного прутка 3,0 мм</t>
    </r>
    <r>
      <rPr>
        <b/>
        <sz val="16"/>
        <color indexed="63"/>
        <rFont val="Arial"/>
        <family val="2"/>
        <charset val="204"/>
      </rPr>
      <t xml:space="preserve">
</t>
    </r>
    <r>
      <rPr>
        <b/>
        <sz val="14"/>
        <color indexed="63"/>
        <rFont val="Arial"/>
        <family val="2"/>
        <charset val="204"/>
      </rPr>
      <t>диаметр прутка с полимерным покрытием 3,2 мм</t>
    </r>
  </si>
  <si>
    <t>Для Панелей шириной 3000 мм к стоимости Панелей 2500 мм применяется коэф. 1,20</t>
  </si>
  <si>
    <t>Для Панелей шириной 3100 мм к стоимости Панелей 2500 мм применяется коэф. 1,25</t>
  </si>
  <si>
    <t>Для Панелей с ячейкой 100*55 к стоимости Панелей с ячейкой 200*55 применяется коэф. 1,20</t>
  </si>
  <si>
    <t>Для Панелей с ячейкой 150*55 к стоимости Панелей с ячейкой 200*55 применяется коэф. 1,10</t>
  </si>
  <si>
    <t>Для Панелей с ячейкой 100/150/200*50 к стоимости Панелей с ячейкой 100/150/200*55 применяется коэф. 1,08</t>
  </si>
  <si>
    <t>Для Панелей с ячейкой 100/150/200*60 к стоимости Панелей с ячейкой 100/150/200*55 применяется коэф. 0,95</t>
  </si>
  <si>
    <t>Для Панелей из прутка 5,0 мм в цинке (=5,2 мм в полимерном покрытии) применяется коэф. 1,08</t>
  </si>
  <si>
    <r>
      <t>MRT Jarditor Mesh-Brico</t>
    </r>
    <r>
      <rPr>
        <sz val="16"/>
        <rFont val="Arial"/>
        <family val="2"/>
        <charset val="204"/>
      </rPr>
      <t xml:space="preserve">
</t>
    </r>
    <r>
      <rPr>
        <b/>
        <sz val="16"/>
        <rFont val="Arial"/>
        <family val="2"/>
        <charset val="204"/>
      </rPr>
      <t>Europlast</t>
    </r>
  </si>
  <si>
    <t>Лепсе-Люкс</t>
  </si>
  <si>
    <r>
      <t xml:space="preserve">Расчетная 
розничная цена 
</t>
    </r>
    <r>
      <rPr>
        <b/>
        <u/>
        <sz val="15"/>
        <rFont val="Arial"/>
        <family val="2"/>
        <charset val="204"/>
      </rPr>
      <t>комплекта</t>
    </r>
    <r>
      <rPr>
        <b/>
        <sz val="15"/>
        <rFont val="Arial"/>
        <family val="2"/>
        <charset val="204"/>
      </rPr>
      <t xml:space="preserve">, руб/п.м.
</t>
    </r>
    <r>
      <rPr>
        <b/>
        <sz val="15"/>
        <color rgb="FFFF0000"/>
        <rFont val="Arial"/>
        <family val="2"/>
        <charset val="204"/>
      </rPr>
      <t>Продажа ведется по ЭЛЕМЕНТАМ</t>
    </r>
  </si>
  <si>
    <t>RAL 3005, RAL 6005, RAL 7024, RAL 7040, RAL 8017, RR32</t>
  </si>
  <si>
    <t>заказ</t>
  </si>
  <si>
    <t>0,6 х 0,6</t>
  </si>
  <si>
    <t xml:space="preserve">поддерживаются на складе в полимерном покрытии: </t>
  </si>
  <si>
    <t>Вес, кг</t>
  </si>
  <si>
    <t>Возможно исполнение в других цветах. Стоимость по согласованию</t>
  </si>
  <si>
    <r>
      <t xml:space="preserve">Панель длиной 2430 мм из труб 40х20 приваренных к направляющим 60х20  - 1 шт
</t>
    </r>
    <r>
      <rPr>
        <sz val="14"/>
        <rFont val="Arial"/>
        <family val="2"/>
        <charset val="204"/>
      </rPr>
      <t>Для установки ограждения потребуется (</t>
    </r>
    <r>
      <rPr>
        <b/>
        <sz val="16"/>
        <color rgb="FFFF0000"/>
        <rFont val="Arial"/>
        <family val="2"/>
        <charset val="204"/>
      </rPr>
      <t>заказывается отдельно</t>
    </r>
    <r>
      <rPr>
        <sz val="14"/>
        <rFont val="Arial"/>
        <family val="2"/>
        <charset val="204"/>
      </rPr>
      <t>):
Столб 62x55 - 1 шт
L-кронштейн - 4 шт
Саморез 5,5х19 мм - 20 шт</t>
    </r>
  </si>
  <si>
    <r>
      <t>руб/м</t>
    </r>
    <r>
      <rPr>
        <vertAlign val="superscript"/>
        <sz val="12"/>
        <rFont val="Arial Cyr"/>
        <charset val="204"/>
      </rPr>
      <t>2</t>
    </r>
  </si>
  <si>
    <t>не прайсовая позиция
столб без отверстий</t>
  </si>
  <si>
    <r>
      <t>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Zinc
</t>
    </r>
    <r>
      <rPr>
        <sz val="14"/>
        <rFont val="Arial"/>
        <family val="2"/>
        <charset val="204"/>
      </rPr>
      <t>(без заполнения)</t>
    </r>
  </si>
  <si>
    <r>
      <t xml:space="preserve">Кронштейн под гасительную сетку
</t>
    </r>
    <r>
      <rPr>
        <sz val="16"/>
        <rFont val="Arial"/>
        <family val="2"/>
        <charset val="204"/>
      </rPr>
      <t>для ограждений высотой более 2,20 м</t>
    </r>
  </si>
  <si>
    <r>
      <t xml:space="preserve">Кронштейн угловой под гасительную сетку
</t>
    </r>
    <r>
      <rPr>
        <sz val="16"/>
        <rFont val="Arial"/>
        <family val="2"/>
        <charset val="204"/>
      </rPr>
      <t>для ограждений высотой более 2,20 м</t>
    </r>
  </si>
  <si>
    <t>№ 2,4,5</t>
  </si>
  <si>
    <t>* - зеленый RAL6005
** - серый RAL7040
*** - коричневый RAL8017
**** - серый RAL7024</t>
  </si>
  <si>
    <t>Планка ответная Medium</t>
  </si>
  <si>
    <t>примечания:
№2 - поддерживается на складе в цвете RAL 6005
№3 - поддерживается на складе в цвете RAL 7040
№4 - поддерживается на складе в цвете RAL 8017
№5 - поддерживается на складе в цвете RAL 7024</t>
  </si>
  <si>
    <t>необходимая высота заполнения 
для ворот 3,0-3,5 м - 1,80 м
для ворот 4,0-9,0 м - 1,74 м</t>
  </si>
  <si>
    <t>цена по запросу</t>
  </si>
  <si>
    <r>
      <t xml:space="preserve">Комплект из 2-х оснований для столба 
</t>
    </r>
    <r>
      <rPr>
        <sz val="16"/>
        <rFont val="Arial"/>
        <family val="2"/>
        <charset val="204"/>
      </rPr>
      <t xml:space="preserve">(болты, гайки, шайбы в комплект не входят, заказываются отдельно)
</t>
    </r>
    <r>
      <rPr>
        <i/>
        <sz val="16"/>
        <rFont val="Arial"/>
        <family val="2"/>
        <charset val="204"/>
      </rPr>
      <t>Внимание! 
Для столбов не более 2,0 м. Не подходит для входных групп</t>
    </r>
  </si>
  <si>
    <t>Ежемесячная покраска цветов RAL 1021, 3005, 5005, 7016 по графику не более одного раза в месяц, сроки уточняйте у вашего менеджера</t>
  </si>
  <si>
    <t>Заклепка 3,2х8</t>
  </si>
  <si>
    <t xml:space="preserve">Ворота и калитки Colority Zinc, Estet, Estet Plus </t>
  </si>
  <si>
    <t>Укосина</t>
  </si>
  <si>
    <r>
      <t xml:space="preserve">Столб 60х40х1,2 мм
высота 1700 мм
</t>
    </r>
    <r>
      <rPr>
        <b/>
        <sz val="16"/>
        <color rgb="FFFF0000"/>
        <rFont val="Arial"/>
        <family val="2"/>
        <charset val="204"/>
      </rPr>
      <t>RAL 7016
RAL 8017</t>
    </r>
  </si>
  <si>
    <t>№ 1,2,4</t>
  </si>
  <si>
    <t>№4 - в полимерном покрытии: коричневый RAL 8017</t>
  </si>
  <si>
    <r>
      <t xml:space="preserve">на ассортимент "Распродажа" 
</t>
    </r>
    <r>
      <rPr>
        <b/>
        <sz val="18"/>
        <color theme="0"/>
        <rFont val="Arial Cyr"/>
        <charset val="204"/>
      </rPr>
      <t>скидки не применяются</t>
    </r>
  </si>
  <si>
    <t>№3 - в полимерном покрытии: серый RAL 7016</t>
  </si>
  <si>
    <t xml:space="preserve">№2 - в полимерном покрытии: зеленый RAL 6005 </t>
  </si>
  <si>
    <t xml:space="preserve"> Cтолб + заглушка
оцинкованный</t>
  </si>
  <si>
    <t>60*60*3000</t>
  </si>
  <si>
    <t>Кронштейн универсальный накладной</t>
  </si>
  <si>
    <t>RAL 6005, RAL 7024, RAL 8017</t>
  </si>
  <si>
    <t>Заклепка цветная 3,2*8 
цвет по RAL</t>
  </si>
  <si>
    <t>Саморез металл-металл 5,5*19 
цвет по RAL</t>
  </si>
  <si>
    <r>
      <t>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Black</t>
    </r>
  </si>
  <si>
    <r>
      <t xml:space="preserve">Комплект на 2,5 метра прямого не замкнутого участка ограждения </t>
    </r>
    <r>
      <rPr>
        <b/>
        <u/>
        <sz val="16"/>
        <rFont val="Arial"/>
        <family val="2"/>
        <charset val="204"/>
      </rPr>
      <t>под бетонирование</t>
    </r>
    <r>
      <rPr>
        <b/>
        <sz val="16"/>
        <rFont val="Arial"/>
        <family val="2"/>
        <charset val="204"/>
      </rPr>
      <t>. Без учета финишных столбов и калиток с воротами</t>
    </r>
  </si>
  <si>
    <r>
      <t xml:space="preserve">Комплект прямого не замкнутого участка ограждения </t>
    </r>
    <r>
      <rPr>
        <b/>
        <u/>
        <sz val="16"/>
        <rFont val="Arial"/>
        <family val="2"/>
        <charset val="204"/>
      </rPr>
      <t>под бетонирование.</t>
    </r>
    <r>
      <rPr>
        <b/>
        <sz val="16"/>
        <rFont val="Arial"/>
        <family val="2"/>
        <charset val="204"/>
      </rPr>
      <t xml:space="preserve">
Без учета финишных столбов и калиток с воротами</t>
    </r>
  </si>
  <si>
    <t>RAL 6005, RAL 7024, RAL 7040, RAL 8017, RR32</t>
  </si>
  <si>
    <t>0,57 x 0,22 x 0,130</t>
  </si>
  <si>
    <t>0,57 x 0,23 x 0,130</t>
  </si>
  <si>
    <r>
      <t xml:space="preserve">ЦЕНА
</t>
    </r>
    <r>
      <rPr>
        <sz val="16"/>
        <rFont val="Arial"/>
        <family val="2"/>
        <charset val="204"/>
      </rPr>
      <t>руб/шт</t>
    </r>
  </si>
  <si>
    <t>76*85*25</t>
  </si>
  <si>
    <t>Предварительно озвученные сроки выполнения заказа действительны в течение 7 календарных дней</t>
  </si>
  <si>
    <r>
      <t xml:space="preserve">Винтовая опора с фланцем
</t>
    </r>
    <r>
      <rPr>
        <sz val="16"/>
        <rFont val="Arial"/>
        <family val="2"/>
        <charset val="204"/>
      </rPr>
      <t xml:space="preserve">76 (d опоры) х 210 (d фланца) х 3,0 (толщ. стали) мм
</t>
    </r>
    <r>
      <rPr>
        <i/>
        <sz val="16"/>
        <rFont val="Arial"/>
        <family val="2"/>
        <charset val="204"/>
      </rPr>
      <t>только для столбов с треугольным фланцем</t>
    </r>
  </si>
  <si>
    <r>
      <rPr>
        <b/>
        <u/>
        <sz val="16"/>
        <rFont val="Arial"/>
        <family val="2"/>
        <charset val="204"/>
      </rPr>
      <t>Комплектация:</t>
    </r>
    <r>
      <rPr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2 створки, 2 столба для петель, 2 петли Locinox GAM12-150, 2 опорных ролика, 2 проушины для навесного замка</t>
    </r>
    <r>
      <rPr>
        <b/>
        <sz val="16"/>
        <rFont val="Arial"/>
        <family val="2"/>
        <charset val="204"/>
      </rPr>
      <t/>
    </r>
  </si>
  <si>
    <t>Стоимость расчитана для регионов Обнинск и Белоруссия</t>
  </si>
  <si>
    <t>Цена указана для регионов Обнинск и Белоруссия. Для остальных регионов действует наценка</t>
  </si>
  <si>
    <t>Засов для ворот Profi</t>
  </si>
  <si>
    <t>===&gt;</t>
  </si>
  <si>
    <t>Столбы и трубы в стандартных цветах изготавливаются объемом от 60 шт каждой номенклатуры</t>
  </si>
  <si>
    <t xml:space="preserve">от 70 штук </t>
  </si>
  <si>
    <r>
      <rPr>
        <b/>
        <sz val="16"/>
        <color indexed="8"/>
        <rFont val="Arial"/>
        <family val="2"/>
        <charset val="204"/>
      </rPr>
      <t>Заказы на столбы</t>
    </r>
    <r>
      <rPr>
        <sz val="16"/>
        <color indexed="8"/>
        <rFont val="Arial"/>
        <family val="2"/>
        <charset val="204"/>
      </rPr>
      <t xml:space="preserve"> для панельных ограждений изготавливаются от 60 штук каждой номенклатуры</t>
    </r>
  </si>
  <si>
    <r>
      <t xml:space="preserve">Заказные позиции </t>
    </r>
    <r>
      <rPr>
        <sz val="16"/>
        <rFont val="Arial"/>
        <family val="2"/>
        <charset val="204"/>
      </rPr>
      <t>размещаются в производство при общем весе от 20 тонн (20 тонн / вес требуемых столбов = минимальное для заказа количество столбов)</t>
    </r>
  </si>
  <si>
    <r>
      <rPr>
        <b/>
        <sz val="16"/>
        <color indexed="8"/>
        <rFont val="Arial"/>
        <family val="2"/>
        <charset val="204"/>
      </rPr>
      <t xml:space="preserve">Заказные столбы и панели Light </t>
    </r>
    <r>
      <rPr>
        <sz val="16"/>
        <color indexed="8"/>
        <rFont val="Arial"/>
        <family val="2"/>
        <charset val="204"/>
      </rPr>
      <t>изготавливаются от 60 шт каждой номенклатуры при условии, что панели являются складскими в цинке</t>
    </r>
  </si>
  <si>
    <t>Предварительно озвученные сроки выполнения заказа действительны в течение 7 календ. дней</t>
  </si>
  <si>
    <r>
      <rPr>
        <b/>
        <sz val="15"/>
        <color theme="1" tint="0.249977111117893"/>
        <rFont val="Arial"/>
        <family val="2"/>
        <charset val="204"/>
      </rPr>
      <t xml:space="preserve">Расчетная 
розничная цена 
</t>
    </r>
    <r>
      <rPr>
        <b/>
        <u/>
        <sz val="15"/>
        <color theme="1" tint="0.249977111117893"/>
        <rFont val="Arial"/>
        <family val="2"/>
        <charset val="204"/>
      </rPr>
      <t>комплекта ограждения</t>
    </r>
    <r>
      <rPr>
        <b/>
        <sz val="15"/>
        <color theme="1" tint="0.249977111117893"/>
        <rFont val="Arial"/>
        <family val="2"/>
        <charset val="204"/>
      </rPr>
      <t>, руб/п.м.</t>
    </r>
    <r>
      <rPr>
        <b/>
        <sz val="15"/>
        <rFont val="Arial"/>
        <family val="2"/>
        <charset val="204"/>
      </rPr>
      <t xml:space="preserve">
</t>
    </r>
    <r>
      <rPr>
        <b/>
        <sz val="15"/>
        <color rgb="FFC00000"/>
        <rFont val="Arial"/>
        <family val="2"/>
        <charset val="204"/>
      </rPr>
      <t>Продажа ведется по ЭЛЕМЕНТАМ</t>
    </r>
  </si>
  <si>
    <t>25 мл</t>
  </si>
  <si>
    <t>Ограждение
X-Line</t>
  </si>
  <si>
    <t>RAL 1014, 1021, 3005, 5005, 6005, 7040, 8017, 9005</t>
  </si>
  <si>
    <r>
      <t xml:space="preserve">Панель длиной 2430 мм из труб 40х20 приваренных к профилям 60х40  - 1 шт
</t>
    </r>
    <r>
      <rPr>
        <sz val="14"/>
        <rFont val="Arial"/>
        <family val="2"/>
        <charset val="204"/>
      </rPr>
      <t>Для установки ограждения потребуется (заказывается отдельно):
Столб 62x55 - 1 шт
Кронштейн универсальный накладной - 8 шт
Саморез 5,5х32 мм - 48 шт</t>
    </r>
  </si>
  <si>
    <t>20 лет - на технические характеристики (внутреняя зона)</t>
  </si>
  <si>
    <t>10 лет - сохранность внешнего вида</t>
  </si>
  <si>
    <r>
      <t xml:space="preserve">Profi Plus 2,83x2,5 м
</t>
    </r>
    <r>
      <rPr>
        <b/>
        <sz val="16"/>
        <color rgb="FFFF0000"/>
        <rFont val="Arial"/>
        <family val="2"/>
        <charset val="204"/>
      </rPr>
      <t>RAL 6005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200х55 мм</t>
    </r>
  </si>
  <si>
    <t>нестандартная ширина 
(стандрат для панелей такой высоты - 2,43 м)</t>
  </si>
  <si>
    <r>
      <t>Производство панелей FINE и LIGHT</t>
    </r>
    <r>
      <rPr>
        <sz val="16"/>
        <color indexed="8"/>
        <rFont val="Arial"/>
        <family val="2"/>
        <charset val="204"/>
      </rPr>
      <t xml:space="preserve"> в нескладских типоразмерах - принимаются от 500 шт каждой номенклатуры</t>
    </r>
  </si>
  <si>
    <t>Гарантия на элементы панельных ограждений Optima
с полимерным покрытием:</t>
  </si>
  <si>
    <r>
      <rPr>
        <b/>
        <sz val="16"/>
        <color indexed="8"/>
        <rFont val="Arial"/>
        <family val="2"/>
        <charset val="204"/>
      </rPr>
      <t>Калитки и Ворота Light</t>
    </r>
    <r>
      <rPr>
        <sz val="16"/>
        <color indexed="8"/>
        <rFont val="Arial"/>
        <family val="2"/>
        <charset val="204"/>
      </rPr>
      <t xml:space="preserve"> производятся только в цвете RAL 6005</t>
    </r>
  </si>
  <si>
    <t>Крепление временного ограждения 51*</t>
  </si>
  <si>
    <t>цена указана для точки отгрузки "Ворсино"</t>
  </si>
  <si>
    <t>1,8/20</t>
  </si>
  <si>
    <t>2,0/20</t>
  </si>
  <si>
    <t>Заказы на Панельные ограждения окрашенные в "Нестандартные цвета" не подлежат отмене с момента статуса "Передан в производство".</t>
  </si>
  <si>
    <t>При отказе от заказа после этой стадии, он должен быть оплачен полностью.
При отказе от заказа до статуса "Передан в производство", он должен быть оплачен в соответствие со ст.32 Закона "О защите прав потребителей"</t>
  </si>
  <si>
    <t>Статья 32. Право потребителя на отказ от исполнения договора о выполнении работ (оказании услуг):
Потребитель вправе отказаться от исполнения договора о выполнении работ (оказании услуг) в любое время при условии оплаты исполнителю фактически понесенных им расходов, связанных с исполнением обязательств по данному договору.</t>
  </si>
  <si>
    <t>Клипсатор</t>
  </si>
  <si>
    <r>
      <t xml:space="preserve">Profi Plus 1,23x2,5 м
</t>
    </r>
    <r>
      <rPr>
        <b/>
        <sz val="16"/>
        <color rgb="FFFF0000"/>
        <rFont val="Arial"/>
        <family val="2"/>
        <charset val="204"/>
      </rPr>
      <t>RAL 6005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200х55 мм</t>
    </r>
  </si>
  <si>
    <r>
      <t xml:space="preserve">Profi Plus 1,4x2,5 м
</t>
    </r>
    <r>
      <rPr>
        <b/>
        <sz val="16"/>
        <color rgb="FFFF0000"/>
        <rFont val="Arial"/>
        <family val="2"/>
        <charset val="204"/>
      </rPr>
      <t>RAL 6005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200х55 мм</t>
    </r>
  </si>
  <si>
    <r>
      <t>нестандартная высота панели (стандарт 1,4</t>
    </r>
    <r>
      <rPr>
        <b/>
        <sz val="16"/>
        <rFont val="Arial"/>
        <family val="2"/>
        <charset val="204"/>
      </rPr>
      <t>3</t>
    </r>
    <r>
      <rPr>
        <sz val="16"/>
        <rFont val="Arial"/>
        <family val="2"/>
        <charset val="204"/>
      </rPr>
      <t xml:space="preserve"> м)</t>
    </r>
  </si>
  <si>
    <t>стандартная позиция по распродажной цене</t>
  </si>
  <si>
    <t>Zn (цинк)</t>
  </si>
  <si>
    <t>1,5/25</t>
  </si>
  <si>
    <r>
      <t xml:space="preserve">Ригель "Эконом" 
</t>
    </r>
    <r>
      <rPr>
        <sz val="14"/>
        <rFont val="Arial Cyr"/>
        <charset val="204"/>
      </rPr>
      <t>для ворот
Medium NEW (60x40) и Colority</t>
    </r>
    <r>
      <rPr>
        <vertAlign val="superscript"/>
        <sz val="14"/>
        <rFont val="Arial Cyr"/>
        <charset val="204"/>
      </rPr>
      <t>®</t>
    </r>
    <r>
      <rPr>
        <sz val="14"/>
        <rFont val="Arial Cyr"/>
        <charset val="204"/>
      </rPr>
      <t xml:space="preserve"> Zinc</t>
    </r>
    <r>
      <rPr>
        <b/>
        <sz val="16"/>
        <color indexed="63"/>
        <rFont val="Arial Cyr"/>
        <charset val="204"/>
      </rPr>
      <t/>
    </r>
  </si>
  <si>
    <r>
      <rPr>
        <b/>
        <sz val="14"/>
        <rFont val="Arial Cyr"/>
        <charset val="204"/>
      </rPr>
      <t xml:space="preserve">Ворота: </t>
    </r>
    <r>
      <rPr>
        <sz val="14"/>
        <rFont val="Arial Cyr"/>
        <charset val="204"/>
      </rPr>
      <t xml:space="preserve">2 створки, 2 опорных столба, петли для 3,5-4,0 м (угол откр. 100 град) / петли для 4,5-6,0 м - Locinox GBMU4D12 (угол откр. 180 град), ригель, ответная планка
</t>
    </r>
    <r>
      <rPr>
        <b/>
        <sz val="14"/>
        <rFont val="Arial Cyr"/>
        <charset val="204"/>
      </rPr>
      <t xml:space="preserve">Калитка: </t>
    </r>
    <r>
      <rPr>
        <sz val="14"/>
        <rFont val="Arial Cyr"/>
        <charset val="204"/>
      </rPr>
      <t>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створка, 2 опорных столба, петли, ответная планка</t>
    </r>
  </si>
  <si>
    <r>
      <rPr>
        <b/>
        <sz val="14"/>
        <rFont val="Arial Cyr"/>
        <charset val="204"/>
      </rPr>
      <t xml:space="preserve">Ворота: </t>
    </r>
    <r>
      <rPr>
        <sz val="14"/>
        <rFont val="Arial Cyr"/>
        <charset val="204"/>
      </rPr>
      <t xml:space="preserve">2 створки, 2 опорных столба, петли для 3,5-4,0 м (угол откр. 100 град) / петли для 4,5-6,0 м - Locinox GBMU4D12 (угол откр. 180 град), замок, ригель, ответная планка
</t>
    </r>
    <r>
      <rPr>
        <b/>
        <sz val="14"/>
        <rFont val="Arial Cyr"/>
        <charset val="204"/>
      </rPr>
      <t>Калитка:</t>
    </r>
    <r>
      <rPr>
        <sz val="14"/>
        <rFont val="Arial Cyr"/>
        <charset val="204"/>
      </rPr>
      <t xml:space="preserve"> 1 створка, 2 опорных столба, петли, замок, ответная планка</t>
    </r>
  </si>
  <si>
    <t>2 створки (рамка из профиля 40х20 мм), 2 опорных столба, петли (угол открывания 110 град), ригель, проушины для навесного замка</t>
  </si>
  <si>
    <t>1 створка (рамка из профиля 40х20 мм), 2 опорных столба, петли (угол открывания 110 град), проушины для навесного замка</t>
  </si>
  <si>
    <t>RAL</t>
  </si>
  <si>
    <t>1,57 x 0,80 x 0,057</t>
  </si>
  <si>
    <t>Основание композитное труба 38/51 мм*</t>
  </si>
  <si>
    <t>Основание бетонное труба 38/51 мм*</t>
  </si>
  <si>
    <t>1,7 х 2,07 
(толщина листа 1,0 мм)</t>
  </si>
  <si>
    <t>2,0 х 2,38 
(толщина листа 0,7 мм)</t>
  </si>
  <si>
    <t>2,0 х 2,38 
(толщина листа 1,0 мм)</t>
  </si>
  <si>
    <t>1,7 х 2,07 
(толщина листа 0,7 мм)</t>
  </si>
  <si>
    <r>
      <t xml:space="preserve">Секция временного ограждения
</t>
    </r>
    <r>
      <rPr>
        <b/>
        <sz val="16"/>
        <color indexed="10"/>
        <rFont val="Arial"/>
        <family val="2"/>
        <charset val="204"/>
      </rPr>
      <t xml:space="preserve">Round*
</t>
    </r>
    <r>
      <rPr>
        <i/>
        <sz val="16"/>
        <rFont val="Arial"/>
        <family val="2"/>
        <charset val="204"/>
      </rPr>
      <t>в рамке из гнутой трубы
совместимо только с основаниями "труба 38/51 мм"</t>
    </r>
  </si>
  <si>
    <r>
      <t xml:space="preserve">Секция перфорированного ограждения
</t>
    </r>
    <r>
      <rPr>
        <b/>
        <sz val="16"/>
        <color rgb="FFFF0000"/>
        <rFont val="Arial"/>
        <family val="2"/>
        <charset val="204"/>
      </rPr>
      <t>КГХ</t>
    </r>
    <r>
      <rPr>
        <b/>
        <sz val="16"/>
        <rFont val="Arial"/>
        <family val="2"/>
        <charset val="204"/>
      </rPr>
      <t xml:space="preserve">
</t>
    </r>
    <r>
      <rPr>
        <i/>
        <sz val="16"/>
        <rFont val="Arial"/>
        <family val="2"/>
        <charset val="204"/>
      </rPr>
      <t>только окрашенное по RAL</t>
    </r>
  </si>
  <si>
    <r>
      <t xml:space="preserve">Секция перфорированного ограждения
</t>
    </r>
    <r>
      <rPr>
        <b/>
        <sz val="16"/>
        <color rgb="FFFF0000"/>
        <rFont val="Arial"/>
        <family val="2"/>
        <charset val="204"/>
      </rPr>
      <t>Мосгаз</t>
    </r>
    <r>
      <rPr>
        <b/>
        <sz val="16"/>
        <rFont val="Arial"/>
        <family val="2"/>
        <charset val="204"/>
      </rPr>
      <t xml:space="preserve">
</t>
    </r>
    <r>
      <rPr>
        <i/>
        <sz val="16"/>
        <rFont val="Arial"/>
        <family val="2"/>
        <charset val="204"/>
      </rPr>
      <t>только окрашенное по RAL</t>
    </r>
  </si>
  <si>
    <r>
      <t xml:space="preserve">Ворота временного ограждения
</t>
    </r>
    <r>
      <rPr>
        <b/>
        <sz val="16"/>
        <color rgb="FFFF0000"/>
        <rFont val="Arial"/>
        <family val="2"/>
        <charset val="204"/>
      </rPr>
      <t>для ограждения Practic*</t>
    </r>
  </si>
  <si>
    <r>
      <rPr>
        <b/>
        <vertAlign val="superscript"/>
        <sz val="16"/>
        <rFont val="Arial"/>
        <family val="2"/>
        <charset val="204"/>
      </rPr>
      <t>1</t>
    </r>
    <r>
      <rPr>
        <b/>
        <sz val="16"/>
        <rFont val="Arial"/>
        <family val="2"/>
        <charset val="204"/>
      </rPr>
      <t xml:space="preserve"> Норма битых бетонных блоков в поставке - 5%</t>
    </r>
  </si>
  <si>
    <t>Предварительно озвученные сроки выполнения заказа действительны 
в течение 7 календарных дней</t>
  </si>
  <si>
    <t>Ограждения Перфорированные и Временные</t>
  </si>
  <si>
    <t>Распашные ворота 
Protect Lock</t>
  </si>
  <si>
    <t>Панель Protect</t>
  </si>
  <si>
    <t>Калитка 
Protect Lock</t>
  </si>
  <si>
    <t>Панель 
Protect</t>
  </si>
  <si>
    <t>Комплект ворот и калиток 
Estet, Estet Plus</t>
  </si>
  <si>
    <t>Ворота: 2 створки, 2 столба, регулируемые петли (угол открывания 180°), замок Locinox, ответная планка, 2 ригеля Locinox
Калитка: 1 створка, 2 столба, регулируемые петли (угол открывания 180°), ответная планка, замок Locinox</t>
  </si>
  <si>
    <t>Комплект ворот и калиток 
Profi Lock, Protect Lock</t>
  </si>
  <si>
    <t>80х80х2</t>
  </si>
  <si>
    <t>100х100х3 раскос</t>
  </si>
  <si>
    <t>100х100х5 раскос</t>
  </si>
  <si>
    <t>100х100х5 2 раскоса</t>
  </si>
  <si>
    <t>140х140х5 2 раскоса</t>
  </si>
  <si>
    <t>нет чер</t>
  </si>
  <si>
    <t>Profi</t>
  </si>
  <si>
    <t>Protect</t>
  </si>
  <si>
    <t>Междуэтажное ограждение</t>
  </si>
  <si>
    <r>
      <t xml:space="preserve">Высота </t>
    </r>
    <r>
      <rPr>
        <b/>
        <sz val="16"/>
        <color rgb="FFFF0000"/>
        <rFont val="Arial"/>
        <family val="2"/>
        <charset val="204"/>
      </rPr>
      <t>x</t>
    </r>
    <r>
      <rPr>
        <b/>
        <sz val="16"/>
        <rFont val="Arial"/>
        <family val="2"/>
        <charset val="204"/>
      </rPr>
      <t xml:space="preserve"> 
Ширина, м</t>
    </r>
  </si>
  <si>
    <t>2,0 x 2,5</t>
  </si>
  <si>
    <t>1,1 x 2,5</t>
  </si>
  <si>
    <t>1,5 x 2,5</t>
  </si>
  <si>
    <t>1,2 x 2,0</t>
  </si>
  <si>
    <t>1,03 x 2,5</t>
  </si>
  <si>
    <t>1,03 x 2,2</t>
  </si>
  <si>
    <t>SKY</t>
  </si>
  <si>
    <t>60x40 ПФ</t>
  </si>
  <si>
    <t>Скоба 8/8 + сам</t>
  </si>
  <si>
    <t>40*20*2500</t>
  </si>
  <si>
    <t>40*20*2000</t>
  </si>
  <si>
    <r>
      <t xml:space="preserve">Крепление для соединения панелей
</t>
    </r>
    <r>
      <rPr>
        <sz val="12"/>
        <rFont val="Arial"/>
        <family val="2"/>
        <charset val="204"/>
      </rPr>
      <t>(укомплектован винтом М6х30, шайбой и антивандальной гайкой М6)</t>
    </r>
  </si>
  <si>
    <r>
      <t>квадратный</t>
    </r>
    <r>
      <rPr>
        <sz val="16"/>
        <rFont val="Arial"/>
        <family val="2"/>
        <charset val="204"/>
      </rPr>
      <t xml:space="preserve"> 400х400 мм</t>
    </r>
  </si>
  <si>
    <r>
      <t xml:space="preserve">квадратный </t>
    </r>
    <r>
      <rPr>
        <sz val="16"/>
        <rFont val="Arial"/>
        <family val="2"/>
        <charset val="204"/>
      </rPr>
      <t>230х230 мм</t>
    </r>
  </si>
  <si>
    <t>к столбам ворот от 6,5 метров</t>
  </si>
  <si>
    <t>Фланец квадратный для опорных столбов ворот шириной от 6,5 метров</t>
  </si>
  <si>
    <t>Фланец 400х400х10 мм</t>
  </si>
  <si>
    <t>2,0 х 2,38 
(толщина листа 0,5 мм)</t>
  </si>
  <si>
    <r>
      <t xml:space="preserve">Секция перфорированного ограждения
</t>
    </r>
    <r>
      <rPr>
        <b/>
        <sz val="16"/>
        <color rgb="FFFF0000"/>
        <rFont val="Arial"/>
        <family val="2"/>
        <charset val="204"/>
      </rPr>
      <t>Tree 2,0</t>
    </r>
    <r>
      <rPr>
        <b/>
        <sz val="16"/>
        <rFont val="Arial"/>
        <family val="2"/>
        <charset val="204"/>
      </rPr>
      <t xml:space="preserve">
</t>
    </r>
    <r>
      <rPr>
        <i/>
        <sz val="16"/>
        <rFont val="Arial"/>
        <family val="2"/>
        <charset val="204"/>
      </rPr>
      <t>рама окрашена по RAL
полотно не окрашено - Zn</t>
    </r>
  </si>
  <si>
    <r>
      <t xml:space="preserve">Секция перфорированного ограждения
</t>
    </r>
    <r>
      <rPr>
        <b/>
        <sz val="16"/>
        <color rgb="FFFF0000"/>
        <rFont val="Arial"/>
        <family val="2"/>
        <charset val="204"/>
      </rPr>
      <t>Tree 1,7</t>
    </r>
    <r>
      <rPr>
        <b/>
        <sz val="16"/>
        <rFont val="Arial"/>
        <family val="2"/>
        <charset val="204"/>
      </rPr>
      <t xml:space="preserve">
</t>
    </r>
    <r>
      <rPr>
        <i/>
        <sz val="16"/>
        <rFont val="Arial"/>
        <family val="2"/>
        <charset val="204"/>
      </rPr>
      <t>рама окрашена по RAL
полотно не окрашено - Zn</t>
    </r>
  </si>
  <si>
    <t>1,7 х 2,07 
(толщина листа 0,9 мм)</t>
  </si>
  <si>
    <t>Профнастил ПН С21</t>
  </si>
  <si>
    <r>
      <t>руб / м</t>
    </r>
    <r>
      <rPr>
        <b/>
        <vertAlign val="superscript"/>
        <sz val="20"/>
        <color indexed="8"/>
        <rFont val="Arial"/>
        <family val="2"/>
        <charset val="204"/>
      </rPr>
      <t>2</t>
    </r>
  </si>
  <si>
    <t>Продажа входных групп в ЦИНКЕ (без полимерного покрытия) ЗАПРЕЩЕНА!</t>
  </si>
  <si>
    <r>
      <t xml:space="preserve">48
</t>
    </r>
    <r>
      <rPr>
        <b/>
        <sz val="14"/>
        <color rgb="FFFF0000"/>
        <rFont val="Arial"/>
        <family val="2"/>
        <charset val="204"/>
      </rPr>
      <t>норма боя - 5%</t>
    </r>
    <r>
      <rPr>
        <b/>
        <vertAlign val="superscript"/>
        <sz val="14"/>
        <color rgb="FFFF0000"/>
        <rFont val="Arial"/>
        <family val="2"/>
        <charset val="204"/>
      </rPr>
      <t>1</t>
    </r>
  </si>
  <si>
    <t>60*20*3070</t>
  </si>
  <si>
    <t>Направляющие 60*20*3070</t>
  </si>
  <si>
    <r>
      <t xml:space="preserve">производятся только в цветах </t>
    </r>
    <r>
      <rPr>
        <b/>
        <sz val="16"/>
        <rFont val="Arial"/>
        <family val="2"/>
        <charset val="204"/>
      </rPr>
      <t>===&gt;</t>
    </r>
  </si>
  <si>
    <t>50*83*29</t>
  </si>
  <si>
    <t>100*87*29</t>
  </si>
  <si>
    <t>Панель SKY RAL 1021 - 1 шт
Столб 60х40 с прямоугольным фланцем RAL 7040 - 1 шт
Крепление Скоба 8/8 RAL 1021 и саморез 5,5х32 мм Zn - 1 шт
Анкер М12*120 - 4 шт</t>
  </si>
  <si>
    <t>ширина - 1040 (985) мм
длина - "под заказ"</t>
  </si>
  <si>
    <r>
      <t xml:space="preserve">Наценки за малый объем Панелей Estet: </t>
    </r>
    <r>
      <rPr>
        <b/>
        <sz val="16"/>
        <rFont val="Arial"/>
        <family val="2"/>
        <charset val="204"/>
      </rPr>
      <t>1-5 м</t>
    </r>
    <r>
      <rPr>
        <b/>
        <vertAlign val="superscript"/>
        <sz val="16"/>
        <rFont val="Arial"/>
        <family val="2"/>
        <charset val="204"/>
      </rPr>
      <t>2</t>
    </r>
    <r>
      <rPr>
        <sz val="16"/>
        <rFont val="Arial"/>
        <family val="2"/>
        <charset val="204"/>
      </rPr>
      <t xml:space="preserve"> - 70%; </t>
    </r>
    <r>
      <rPr>
        <b/>
        <sz val="16"/>
        <rFont val="Arial"/>
        <family val="2"/>
        <charset val="204"/>
      </rPr>
      <t>5-10 м</t>
    </r>
    <r>
      <rPr>
        <b/>
        <vertAlign val="superscript"/>
        <sz val="16"/>
        <rFont val="Arial"/>
        <family val="2"/>
        <charset val="204"/>
      </rPr>
      <t>2</t>
    </r>
    <r>
      <rPr>
        <sz val="16"/>
        <rFont val="Arial"/>
        <family val="2"/>
        <charset val="204"/>
      </rPr>
      <t xml:space="preserve"> - 30%; </t>
    </r>
    <r>
      <rPr>
        <b/>
        <sz val="16"/>
        <rFont val="Arial"/>
        <family val="2"/>
        <charset val="204"/>
      </rPr>
      <t>10-25 м</t>
    </r>
    <r>
      <rPr>
        <b/>
        <vertAlign val="superscript"/>
        <sz val="16"/>
        <rFont val="Arial"/>
        <family val="2"/>
        <charset val="204"/>
      </rPr>
      <t>2</t>
    </r>
    <r>
      <rPr>
        <sz val="16"/>
        <rFont val="Arial"/>
        <family val="2"/>
        <charset val="204"/>
      </rPr>
      <t xml:space="preserve"> - 15%</t>
    </r>
  </si>
  <si>
    <t>Внимание! 
Наценка за малый объем заказа 
(см. примечание)</t>
  </si>
  <si>
    <t>3,94 кг/пог.м</t>
  </si>
  <si>
    <t>ширина - 860 (830) мм
длина - "под заказ" 
от 1,4 до 3,5 м</t>
  </si>
  <si>
    <r>
      <t xml:space="preserve">Medium Plus 2,43x2,5 м
</t>
    </r>
    <r>
      <rPr>
        <b/>
        <sz val="16"/>
        <color rgb="FFFF0000"/>
        <rFont val="Arial"/>
        <family val="2"/>
        <charset val="204"/>
      </rPr>
      <t>RAL 6005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200х60 мм</t>
    </r>
  </si>
  <si>
    <t>Ворота</t>
  </si>
  <si>
    <r>
      <t xml:space="preserve">Profi Plus 1,53x2,5 м
</t>
    </r>
    <r>
      <rPr>
        <b/>
        <sz val="16"/>
        <color rgb="FFFF0000"/>
        <rFont val="Arial"/>
        <family val="2"/>
        <charset val="204"/>
      </rPr>
      <t>RAL 6005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200х50 мм</t>
    </r>
  </si>
  <si>
    <r>
      <t xml:space="preserve">Ворота Colority Zinc 2,03x3,45 м
</t>
    </r>
    <r>
      <rPr>
        <b/>
        <sz val="16"/>
        <color rgb="FFFF0000"/>
        <rFont val="Arial"/>
        <family val="2"/>
        <charset val="204"/>
      </rPr>
      <t>RAL 7040</t>
    </r>
  </si>
  <si>
    <r>
      <t xml:space="preserve">Ворота Profi_5 NoLock ПФ Н9 ЗС 2,43x6,0 м
</t>
    </r>
    <r>
      <rPr>
        <b/>
        <sz val="16"/>
        <color rgb="FFFF0000"/>
        <rFont val="Arial"/>
        <family val="2"/>
        <charset val="204"/>
      </rPr>
      <t>RAL 1021 / 9005</t>
    </r>
    <r>
      <rPr>
        <b/>
        <sz val="16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ячейка 150х50 мм</t>
    </r>
  </si>
  <si>
    <t>столбы с приваренными усиленными фланцами 230х230 мм
прямые наконечники для крепления ПББ 500, 600</t>
  </si>
  <si>
    <r>
      <t xml:space="preserve">Ворота Profi 2,03x4,0 м ПФ Н5
</t>
    </r>
    <r>
      <rPr>
        <b/>
        <sz val="16"/>
        <color rgb="FFFF0000"/>
        <rFont val="Arial"/>
        <family val="2"/>
        <charset val="204"/>
      </rPr>
      <t>RAL 5005</t>
    </r>
  </si>
  <si>
    <r>
      <rPr>
        <u/>
        <sz val="16"/>
        <rFont val="Arial"/>
        <family val="2"/>
        <charset val="204"/>
      </rPr>
      <t>конструктив образца 2012 года:</t>
    </r>
    <r>
      <rPr>
        <sz val="16"/>
        <rFont val="Arial"/>
        <family val="2"/>
        <charset val="204"/>
      </rPr>
      <t xml:space="preserve">
рамки ворот из профиля 62х55х1,4 мм с фальцевым швом
столбы 80х80х2,0 мм
петли Locinox GBM12-150, угол открывания 110</t>
    </r>
    <r>
      <rPr>
        <sz val="16"/>
        <rFont val="Calibri"/>
        <family val="2"/>
        <charset val="204"/>
      </rPr>
      <t xml:space="preserve">˚
</t>
    </r>
    <r>
      <rPr>
        <sz val="16"/>
        <rFont val="Arial"/>
        <family val="2"/>
        <charset val="204"/>
      </rPr>
      <t>притворные планки для навесного замка</t>
    </r>
  </si>
  <si>
    <t>Полный список позиций смотрите в Grand Line Маркет в папке "Распродажа"</t>
  </si>
  <si>
    <r>
      <t xml:space="preserve">Уточняйте доступное количество у Вашего менеджера Grand Line или в Grand Line Маркет </t>
    </r>
    <r>
      <rPr>
        <b/>
        <u/>
        <sz val="16"/>
        <color indexed="9"/>
        <rFont val="Arial Cyr"/>
        <charset val="204"/>
      </rPr>
      <t>перед</t>
    </r>
    <r>
      <rPr>
        <b/>
        <sz val="16"/>
        <color indexed="9"/>
        <rFont val="Arial Cyr"/>
        <charset val="204"/>
      </rPr>
      <t xml:space="preserve"> выставлением счета заказчику</t>
    </r>
  </si>
  <si>
    <t>толщина прутка в цинке 5,0 мм =&gt; в полимере 5,2 мм
столбы в цвете RAL 9005
рамки и панели заполнения в цвете RAL 1021
столбы с приваренными усиленными фланцами 400х400 мм
прямые наконечники для крепления ПББ 900
ворота без замка, с засовом</t>
  </si>
  <si>
    <r>
      <t xml:space="preserve">Крепление временного ограждения Clamp 38*
</t>
    </r>
    <r>
      <rPr>
        <i/>
        <sz val="16"/>
        <rFont val="Arial"/>
        <family val="2"/>
        <charset val="204"/>
      </rPr>
      <t>(для ограждений Round, в комплекте болт М8*60)</t>
    </r>
  </si>
  <si>
    <r>
      <t xml:space="preserve">Крепление временного ограждения Сlamp 51*
</t>
    </r>
    <r>
      <rPr>
        <i/>
        <sz val="16"/>
        <rFont val="Arial"/>
        <family val="2"/>
        <charset val="204"/>
      </rPr>
      <t xml:space="preserve">(для перфорированных ограждений, в комплекте болт М8*80)
</t>
    </r>
    <r>
      <rPr>
        <b/>
        <sz val="14"/>
        <rFont val="Arial"/>
        <family val="2"/>
        <charset val="204"/>
      </rPr>
      <t>не подходит для Временного Practic</t>
    </r>
  </si>
  <si>
    <r>
      <t xml:space="preserve">Крепление для рулонной сетки
</t>
    </r>
    <r>
      <rPr>
        <sz val="16"/>
        <rFont val="Arial"/>
        <family val="2"/>
        <charset val="204"/>
      </rPr>
      <t>(пластиковая скоба+саморез 5,5х32 мм)</t>
    </r>
  </si>
  <si>
    <r>
      <t xml:space="preserve">Укосина стабилизирующая
</t>
    </r>
    <r>
      <rPr>
        <i/>
        <sz val="16"/>
        <rFont val="Arial"/>
        <family val="2"/>
        <charset val="204"/>
      </rPr>
      <t>для Крпеления временного ограждения 51</t>
    </r>
  </si>
  <si>
    <t>в случае 2D панелей для:
от 4,8/4,8/4,8 
до 6,0/5,0/6,0</t>
  </si>
  <si>
    <t>Дополнения к Распашным воротам и Калиткам</t>
  </si>
  <si>
    <t xml:space="preserve">Кронштейн 
SGN.02.718 </t>
  </si>
  <si>
    <t xml:space="preserve">Кронштейн 
FLGU.400.0904 </t>
  </si>
  <si>
    <t>Для ворот до 5,5 м включительно</t>
  </si>
  <si>
    <t>Для ворот 6 метров и более</t>
  </si>
  <si>
    <t>Дополнения для входных групп</t>
  </si>
  <si>
    <t>Общее для комплектов Автоматизации Откатных ворот и Распашных ворот и Калиток</t>
  </si>
  <si>
    <r>
      <t>Лампа светодиодная постоянного тока ELDC</t>
    </r>
    <r>
      <rPr>
        <sz val="16"/>
        <color theme="1" tint="0.34998626667073579"/>
        <rFont val="Arial"/>
        <family val="2"/>
        <charset val="204"/>
      </rPr>
      <t xml:space="preserve"> (для откатных ворот и распашных ворот 3,5 - 4,5 м)</t>
    </r>
  </si>
  <si>
    <r>
      <t xml:space="preserve">Лампа светодиодная переменного тока ELAC </t>
    </r>
    <r>
      <rPr>
        <sz val="16"/>
        <color theme="1" tint="0.34998626667073579"/>
        <rFont val="Arial"/>
        <family val="2"/>
        <charset val="204"/>
      </rPr>
      <t>(для распашных ворот 5,0 - 9,0 м)</t>
    </r>
  </si>
  <si>
    <t>Нащельник 25х70х2300 мм - 2 шт</t>
  </si>
  <si>
    <t>Засов (кронштейн, ось, ручка) - 1 шт
Кронштейн на раму - 1 шт
Винт М6х16 мм - 2 шт
Саморез 5,5х19 мм - 12 шт</t>
  </si>
  <si>
    <r>
      <t xml:space="preserve">Возможно заказать откатные ворота (Profi, Bastion, Protect) в комплекте для установки на кирпичные / готовые столбы. 
</t>
    </r>
    <r>
      <rPr>
        <b/>
        <sz val="16"/>
        <rFont val="Arial"/>
        <family val="2"/>
        <charset val="204"/>
      </rPr>
      <t>Максимальная ширина ворот - 5,5 метра включительно. Для расчета из стоимости откатных ворот с рамками (верхняя таблица) вычесть 8 000 руб</t>
    </r>
  </si>
  <si>
    <t>серый RAL 7024
корич. RAL 8017</t>
  </si>
  <si>
    <r>
      <rPr>
        <b/>
        <vertAlign val="superscript"/>
        <sz val="16"/>
        <rFont val="Arial"/>
        <family val="2"/>
        <charset val="204"/>
      </rPr>
      <t>1</t>
    </r>
    <r>
      <rPr>
        <vertAlign val="superscript"/>
        <sz val="16"/>
        <rFont val="Arial"/>
        <family val="2"/>
        <charset val="204"/>
      </rPr>
      <t xml:space="preserve"> </t>
    </r>
    <r>
      <rPr>
        <b/>
        <sz val="16"/>
        <rFont val="Arial"/>
        <family val="2"/>
        <charset val="204"/>
      </rPr>
      <t>Заказы на ограждение PROTECT, X-LINE</t>
    </r>
    <r>
      <rPr>
        <sz val="16"/>
        <rFont val="Arial"/>
        <family val="2"/>
        <charset val="204"/>
      </rPr>
      <t xml:space="preserve"> принимаются </t>
    </r>
    <r>
      <rPr>
        <b/>
        <sz val="16"/>
        <rFont val="Arial"/>
        <family val="2"/>
        <charset val="204"/>
      </rPr>
      <t>от 50 шт</t>
    </r>
  </si>
  <si>
    <t>Дополнения к Откатным воротам</t>
  </si>
  <si>
    <r>
      <t xml:space="preserve">Дополнительно для комплектов автоматизации </t>
    </r>
    <r>
      <rPr>
        <b/>
        <sz val="16"/>
        <rFont val="Arial"/>
        <family val="2"/>
        <charset val="204"/>
      </rPr>
      <t>возможно приобрести</t>
    </r>
  </si>
  <si>
    <r>
      <t>90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55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1,6</t>
    </r>
  </si>
  <si>
    <r>
      <t>62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55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1,4</t>
    </r>
  </si>
  <si>
    <r>
      <t>80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80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2,0</t>
    </r>
  </si>
  <si>
    <r>
      <t>62</t>
    </r>
    <r>
      <rPr>
        <sz val="16"/>
        <color theme="1" tint="0.34998626667073579"/>
        <rFont val="Arial"/>
        <family val="2"/>
        <charset val="204"/>
      </rPr>
      <t>х</t>
    </r>
    <r>
      <rPr>
        <sz val="16"/>
        <rFont val="Arial"/>
        <family val="2"/>
        <charset val="204"/>
      </rPr>
      <t>55</t>
    </r>
  </si>
  <si>
    <r>
      <t>60</t>
    </r>
    <r>
      <rPr>
        <sz val="16"/>
        <color theme="1" tint="0.34998626667073579"/>
        <rFont val="Arial"/>
        <family val="2"/>
        <charset val="204"/>
      </rPr>
      <t>х</t>
    </r>
    <r>
      <rPr>
        <sz val="16"/>
        <rFont val="Arial"/>
        <family val="2"/>
        <charset val="204"/>
      </rPr>
      <t>20</t>
    </r>
    <r>
      <rPr>
        <sz val="16"/>
        <color theme="1" tint="0.34998626667073579"/>
        <rFont val="Arial"/>
        <family val="2"/>
        <charset val="204"/>
      </rPr>
      <t>х</t>
    </r>
    <r>
      <rPr>
        <sz val="16"/>
        <rFont val="Arial"/>
        <family val="2"/>
        <charset val="204"/>
      </rPr>
      <t>110</t>
    </r>
  </si>
  <si>
    <r>
      <t>80</t>
    </r>
    <r>
      <rPr>
        <sz val="16"/>
        <color theme="1" tint="0.34998626667073579"/>
        <rFont val="Arial"/>
        <family val="2"/>
        <charset val="204"/>
      </rPr>
      <t>х</t>
    </r>
    <r>
      <rPr>
        <sz val="16"/>
        <rFont val="Arial"/>
        <family val="2"/>
        <charset val="204"/>
      </rPr>
      <t>80</t>
    </r>
  </si>
  <si>
    <r>
      <t>d51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1,2</t>
    </r>
  </si>
  <si>
    <r>
      <t>60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40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1,2</t>
    </r>
  </si>
  <si>
    <r>
      <t>60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40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 xml:space="preserve">1,4
</t>
    </r>
    <r>
      <rPr>
        <sz val="14"/>
        <rFont val="Arial"/>
        <family val="2"/>
        <charset val="204"/>
      </rPr>
      <t>(резьбовое отверстие М6 под Крепление "скоба Medium винт")</t>
    </r>
  </si>
  <si>
    <r>
      <t>42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21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1,0</t>
    </r>
  </si>
  <si>
    <r>
      <t>Крепление скоба (саморез 5,5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 xml:space="preserve">32)
</t>
    </r>
    <r>
      <rPr>
        <sz val="16"/>
        <rFont val="Arial"/>
        <family val="2"/>
        <charset val="204"/>
      </rPr>
      <t>саморез оцинкованный, неокрашенный</t>
    </r>
  </si>
  <si>
    <r>
      <t>Крепление скоба Medium винт М6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 xml:space="preserve">30 </t>
    </r>
  </si>
  <si>
    <r>
      <t>переменная
50</t>
    </r>
    <r>
      <rPr>
        <sz val="16"/>
        <color theme="1" tint="0.34998626667073579"/>
        <rFont val="Arial"/>
        <family val="2"/>
        <charset val="204"/>
      </rPr>
      <t>х</t>
    </r>
    <r>
      <rPr>
        <sz val="16"/>
        <rFont val="Arial"/>
        <family val="2"/>
        <charset val="204"/>
      </rPr>
      <t>62,5
100</t>
    </r>
    <r>
      <rPr>
        <sz val="16"/>
        <color theme="1" tint="0.34998626667073579"/>
        <rFont val="Arial"/>
        <family val="2"/>
        <charset val="204"/>
      </rPr>
      <t>х</t>
    </r>
    <r>
      <rPr>
        <sz val="16"/>
        <rFont val="Arial"/>
        <family val="2"/>
        <charset val="204"/>
      </rPr>
      <t>62,5</t>
    </r>
  </si>
  <si>
    <r>
      <t>100</t>
    </r>
    <r>
      <rPr>
        <sz val="16"/>
        <color theme="1" tint="0.34998626667073579"/>
        <rFont val="Arial"/>
        <family val="2"/>
        <charset val="204"/>
      </rPr>
      <t>х</t>
    </r>
    <r>
      <rPr>
        <sz val="16"/>
        <rFont val="Arial"/>
        <family val="2"/>
        <charset val="204"/>
      </rPr>
      <t>50</t>
    </r>
  </si>
  <si>
    <t>1,03 х 1,0</t>
  </si>
  <si>
    <t>1,23 х 1,0</t>
  </si>
  <si>
    <t>1,53 х 1,0</t>
  </si>
  <si>
    <t>1,73 х 1,0</t>
  </si>
  <si>
    <t>2,03 х 1,0</t>
  </si>
  <si>
    <t>2,43 х 1,0</t>
  </si>
  <si>
    <t>1,65 х 1,0</t>
  </si>
  <si>
    <t>2,00 х 1,0</t>
  </si>
  <si>
    <t>2,40 х 1,0</t>
  </si>
  <si>
    <t>1,65 х 3,68</t>
  </si>
  <si>
    <t>2,00 х 3,68</t>
  </si>
  <si>
    <t>2,40 х 3,68</t>
  </si>
  <si>
    <r>
      <t xml:space="preserve">Высота </t>
    </r>
    <r>
      <rPr>
        <b/>
        <sz val="16"/>
        <color theme="1" tint="0.34998626667073579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 xml:space="preserve"> Ширина, м</t>
    </r>
  </si>
  <si>
    <r>
      <t xml:space="preserve">Высота 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 xml:space="preserve"> Ширина, м</t>
    </r>
  </si>
  <si>
    <r>
      <t>Засов в сборе с ответной скобой</t>
    </r>
    <r>
      <rPr>
        <sz val="16"/>
        <color indexed="63"/>
        <rFont val="Arial"/>
        <family val="2"/>
        <charset val="204"/>
      </rPr>
      <t xml:space="preserve">
</t>
    </r>
    <r>
      <rPr>
        <sz val="16"/>
        <rFont val="Arial"/>
        <family val="2"/>
        <charset val="204"/>
      </rPr>
      <t>Саморезы 5,5х19 мм – 8 шт</t>
    </r>
  </si>
  <si>
    <t>Проушины – 2 шт
Саморезы 5,5х19 мм – 8 шт</t>
  </si>
  <si>
    <t>Уголок - 2 шт
Саморезы 5,5х19 мм - 4 шт</t>
  </si>
  <si>
    <t>Ригель в сборе - 1 шт
Саморезы 5,5х19 мм - 6 шт</t>
  </si>
  <si>
    <t>Доводчик - 1 шт
Пластина 185х70 мм - 1 шт
Саморезы 5,5х32 мм - 4 шт
Винты М6х16 мм - 4 шт</t>
  </si>
  <si>
    <r>
      <t xml:space="preserve">Фиксатор проволоки в наконечнике
</t>
    </r>
    <r>
      <rPr>
        <sz val="16"/>
        <rFont val="Arial"/>
        <family val="2"/>
        <charset val="204"/>
      </rPr>
      <t>(скоба + болт М6х40 + гайка М6)</t>
    </r>
  </si>
  <si>
    <r>
      <t>Анкер М12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120 
для крепления столба с фланцем к бетонному основанию</t>
    </r>
  </si>
  <si>
    <r>
      <t>Наконечник L на столб 62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55</t>
    </r>
  </si>
  <si>
    <r>
      <t>Наконечник  V на столб 62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55</t>
    </r>
  </si>
  <si>
    <r>
      <t>Наконечник L приваренный к столбу 62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55 / 80</t>
    </r>
    <r>
      <rPr>
        <b/>
        <sz val="16"/>
        <color theme="1" tint="0.249977111117893"/>
        <rFont val="Arial"/>
        <family val="2"/>
        <charset val="204"/>
      </rPr>
      <t>x</t>
    </r>
    <r>
      <rPr>
        <b/>
        <sz val="16"/>
        <rFont val="Arial"/>
        <family val="2"/>
        <charset val="204"/>
      </rPr>
      <t>80</t>
    </r>
  </si>
  <si>
    <r>
      <t>Наконечник V приваренный к столбу 62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55 / 80</t>
    </r>
    <r>
      <rPr>
        <b/>
        <sz val="16"/>
        <color theme="1" tint="0.249977111117893"/>
        <rFont val="Arial"/>
        <family val="2"/>
        <charset val="204"/>
      </rPr>
      <t>x</t>
    </r>
    <r>
      <rPr>
        <b/>
        <sz val="16"/>
        <rFont val="Arial"/>
        <family val="2"/>
        <charset val="204"/>
      </rPr>
      <t>80</t>
    </r>
  </si>
  <si>
    <r>
      <t>Болт М12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100 + шайба + гайка
для крепления столба к винтовой опоре с фланцем</t>
    </r>
  </si>
  <si>
    <r>
      <t xml:space="preserve">Крепление скоба - болт
</t>
    </r>
    <r>
      <rPr>
        <sz val="12"/>
        <rFont val="Arial"/>
        <family val="2"/>
        <charset val="204"/>
      </rPr>
      <t>(болт М6х25/85/100/110 + гайка антивандальная М6)</t>
    </r>
  </si>
  <si>
    <t>М6х25 - № 2
М6х85 - № 1,2,3,4
М6х110 - № 1,2,3</t>
  </si>
  <si>
    <r>
      <t xml:space="preserve">Крепление скоба - винт 
</t>
    </r>
    <r>
      <rPr>
        <sz val="12"/>
        <rFont val="Arial"/>
        <family val="2"/>
        <charset val="204"/>
      </rPr>
      <t>(винт М6х30)</t>
    </r>
  </si>
  <si>
    <r>
      <t xml:space="preserve">Крепление 2 скобы - болт
</t>
    </r>
    <r>
      <rPr>
        <sz val="12"/>
        <rFont val="Arial"/>
        <family val="2"/>
        <charset val="204"/>
      </rPr>
      <t>(болт М6х40/100 + гайка антивандальная М6)</t>
    </r>
  </si>
  <si>
    <r>
      <t xml:space="preserve">Крепление скоба Bastion 6/8
</t>
    </r>
    <r>
      <rPr>
        <sz val="12"/>
        <rFont val="Arial"/>
        <family val="2"/>
        <charset val="204"/>
      </rPr>
      <t>(болт М6х100/120/130 + гайка антивандальная М6)</t>
    </r>
  </si>
  <si>
    <r>
      <t>Болт М6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 xml:space="preserve">85/110 + шайба + гайка антивандальная 
</t>
    </r>
    <r>
      <rPr>
        <sz val="16"/>
        <rFont val="Arial"/>
        <family val="2"/>
        <charset val="204"/>
      </rPr>
      <t>для крепления наконечника универсального к столбу</t>
    </r>
  </si>
  <si>
    <r>
      <t>Заглушка GL 62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rFont val="Arial"/>
        <family val="2"/>
        <charset val="204"/>
      </rPr>
      <t>55</t>
    </r>
  </si>
  <si>
    <r>
      <t>Столб оцинкованный
с отверстиями или резьбовыми втулками 
в профиле 62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color indexed="8"/>
        <rFont val="Arial"/>
        <family val="2"/>
        <charset val="204"/>
      </rPr>
      <t>55, 90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color indexed="8"/>
        <rFont val="Arial"/>
        <family val="2"/>
        <charset val="204"/>
      </rPr>
      <t>55 и заглушкой</t>
    </r>
  </si>
  <si>
    <r>
      <t>Столб оцинкованный с полимерным покрытием 
с отверстиями или резьбовыми втулками 
в профиле 62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color indexed="8"/>
        <rFont val="Arial"/>
        <family val="2"/>
        <charset val="204"/>
      </rPr>
      <t>55, 90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color indexed="8"/>
        <rFont val="Arial"/>
        <family val="2"/>
        <charset val="204"/>
      </rPr>
      <t>55 и 80</t>
    </r>
    <r>
      <rPr>
        <b/>
        <sz val="16"/>
        <color theme="1" tint="0.249977111117893"/>
        <rFont val="Arial"/>
        <family val="2"/>
        <charset val="204"/>
      </rPr>
      <t>х</t>
    </r>
    <r>
      <rPr>
        <b/>
        <sz val="16"/>
        <color indexed="8"/>
        <rFont val="Arial"/>
        <family val="2"/>
        <charset val="204"/>
      </rPr>
      <t>80 и заглушкой</t>
    </r>
  </si>
  <si>
    <t>к столбу 62х55, 90х55 или 80х80</t>
  </si>
  <si>
    <t>к столбу 80х80 или 90х55</t>
  </si>
  <si>
    <t>1,53 х 4,0</t>
  </si>
  <si>
    <t>1,73 х 4,0</t>
  </si>
  <si>
    <t>2,03 х 4,0</t>
  </si>
  <si>
    <r>
      <t xml:space="preserve">Засов для откатных ворот
</t>
    </r>
    <r>
      <rPr>
        <i/>
        <sz val="14"/>
        <color indexed="8"/>
        <rFont val="Arial"/>
        <family val="2"/>
        <charset val="204"/>
      </rPr>
      <t>(код: 727619)</t>
    </r>
  </si>
  <si>
    <r>
      <t xml:space="preserve">кронштейн колеса, колесо, шайба, гайка, хомут-стремянка </t>
    </r>
    <r>
      <rPr>
        <sz val="16"/>
        <rFont val="Calibri"/>
        <family val="2"/>
        <charset val="204"/>
      </rPr>
      <t>Ø38 М8</t>
    </r>
    <r>
      <rPr>
        <sz val="16"/>
        <rFont val="Arial"/>
        <family val="2"/>
        <charset val="204"/>
      </rPr>
      <t xml:space="preserve">
втулка, хомут Clamp 38, болт М6, шайба, гайка</t>
    </r>
  </si>
  <si>
    <r>
      <t xml:space="preserve">Комплект для ворот временного ограждения ROUND*
</t>
    </r>
    <r>
      <rPr>
        <i/>
        <sz val="14"/>
        <rFont val="Arial"/>
        <family val="2"/>
        <charset val="204"/>
      </rPr>
      <t>(код: 681472)</t>
    </r>
  </si>
  <si>
    <t>Калитка временного ограждения 
ROUND*
(код: 681457)</t>
  </si>
  <si>
    <t>2,0 x 1</t>
  </si>
  <si>
    <t>Внимание! Продажа Элементов Locinox в количестве более 30 шт запрещена</t>
  </si>
  <si>
    <t>200х55</t>
  </si>
  <si>
    <t>200х60</t>
  </si>
  <si>
    <r>
      <t xml:space="preserve">Размер ячейки, мм
</t>
    </r>
    <r>
      <rPr>
        <b/>
        <sz val="14"/>
        <rFont val="Arial"/>
        <family val="2"/>
        <charset val="204"/>
      </rPr>
      <t>(высота х ширина)</t>
    </r>
  </si>
  <si>
    <t>№5 - в полимерном покрытии: коричневый RAL 8019</t>
  </si>
  <si>
    <t>под бетонирование</t>
  </si>
  <si>
    <t>на фланцах</t>
  </si>
  <si>
    <r>
      <t xml:space="preserve">Привод электромеханический </t>
    </r>
    <r>
      <rPr>
        <b/>
        <sz val="16"/>
        <rFont val="Arial"/>
        <family val="2"/>
        <charset val="204"/>
      </rPr>
      <t>TOONA TO5016/Р</t>
    </r>
    <r>
      <rPr>
        <sz val="16"/>
        <rFont val="Arial"/>
        <family val="2"/>
        <charset val="204"/>
      </rPr>
      <t xml:space="preserve"> - 2 шт, 
Блок управления - 1 шт, Приемник встраиваемый - 1 шт, Пульт ДУ - 2 шт, Кронштейны крепления к столбам и створкам</t>
    </r>
  </si>
  <si>
    <r>
      <t xml:space="preserve">Укосина стабилизирующая
</t>
    </r>
    <r>
      <rPr>
        <i/>
        <sz val="16"/>
        <rFont val="Arial"/>
        <family val="2"/>
        <charset val="204"/>
      </rPr>
      <t>для Clamp 38, Clamp 51</t>
    </r>
  </si>
  <si>
    <t>1. Рейка оцинкованная зубчатая
2. Профиль С
3. Болт с полукруглой головкой</t>
  </si>
  <si>
    <t>4. Пластина закладная для профиля С
5. Скоба для профиля С</t>
  </si>
  <si>
    <t>Комплект нащельников 
для откатных ворот - 2 шт</t>
  </si>
  <si>
    <r>
      <t xml:space="preserve">Основания не входят в комплект поставки </t>
    </r>
    <r>
      <rPr>
        <i/>
        <u/>
        <sz val="14"/>
        <rFont val="Arial"/>
        <family val="2"/>
        <charset val="204"/>
      </rPr>
      <t>секции</t>
    </r>
    <r>
      <rPr>
        <i/>
        <sz val="14"/>
        <rFont val="Arial"/>
        <family val="2"/>
        <charset val="204"/>
      </rPr>
      <t xml:space="preserve">. </t>
    </r>
    <r>
      <rPr>
        <b/>
        <i/>
        <sz val="14"/>
        <rFont val="Arial"/>
        <family val="2"/>
        <charset val="204"/>
      </rPr>
      <t>Основания приобретать отдельно.</t>
    </r>
  </si>
  <si>
    <r>
      <t>Фотоэлементы Slim EPS</t>
    </r>
    <r>
      <rPr>
        <i/>
        <sz val="14"/>
        <color theme="1" tint="0.249977111117893"/>
        <rFont val="Arial"/>
        <family val="2"/>
        <charset val="204"/>
      </rPr>
      <t xml:space="preserve"> (код: 168498)</t>
    </r>
    <r>
      <rPr>
        <sz val="16"/>
        <color theme="1" tint="0.249977111117893"/>
        <rFont val="Arial"/>
        <family val="2"/>
        <charset val="204"/>
      </rPr>
      <t xml:space="preserve"> (для распашных ворот и откатных ворот 3,0 - 5,5 м)</t>
    </r>
  </si>
  <si>
    <r>
      <t xml:space="preserve">Фотоэлементы EPM </t>
    </r>
    <r>
      <rPr>
        <i/>
        <sz val="14"/>
        <color theme="1" tint="0.249977111117893"/>
        <rFont val="Arial"/>
        <family val="2"/>
        <charset val="204"/>
      </rPr>
      <t>(код: 176659)</t>
    </r>
    <r>
      <rPr>
        <sz val="16"/>
        <color theme="1" tint="0.249977111117893"/>
        <rFont val="Arial"/>
        <family val="2"/>
        <charset val="204"/>
      </rPr>
      <t xml:space="preserve"> (для распашных ворот и откатных ворот 3,0 - 5,5 м)</t>
    </r>
  </si>
  <si>
    <r>
      <t xml:space="preserve">Фотоэлементы Slim BlueBus EPSB </t>
    </r>
    <r>
      <rPr>
        <i/>
        <sz val="14"/>
        <color theme="1" tint="0.249977111117893"/>
        <rFont val="Arial"/>
        <family val="2"/>
        <charset val="204"/>
      </rPr>
      <t>(код: 211104)</t>
    </r>
    <r>
      <rPr>
        <sz val="16"/>
        <color theme="1" tint="0.249977111117893"/>
        <rFont val="Arial"/>
        <family val="2"/>
        <charset val="204"/>
      </rPr>
      <t xml:space="preserve"> (для распашных ворот 5,0 - 9,0 м и откатных ворот 6,0 - 9,0 м)</t>
    </r>
  </si>
  <si>
    <r>
      <t>Фотоэлементы BlueBus EPMB</t>
    </r>
    <r>
      <rPr>
        <i/>
        <sz val="14"/>
        <color theme="1" tint="0.249977111117893"/>
        <rFont val="Arial"/>
        <family val="2"/>
        <charset val="204"/>
      </rPr>
      <t xml:space="preserve"> (код: 365273)</t>
    </r>
    <r>
      <rPr>
        <sz val="16"/>
        <color theme="1" tint="0.249977111117893"/>
        <rFont val="Arial"/>
        <family val="2"/>
        <charset val="204"/>
      </rPr>
      <t xml:space="preserve"> (для распашных ворот 5,0 - 9,0 м и откатных ворот 6,0 - 9,0 м)</t>
    </r>
  </si>
  <si>
    <t>под заказ ===&gt;</t>
  </si>
  <si>
    <r>
      <rPr>
        <b/>
        <u/>
        <sz val="16"/>
        <rFont val="Arial"/>
        <family val="2"/>
        <charset val="204"/>
      </rPr>
      <t>Комплектация:</t>
    </r>
    <r>
      <rPr>
        <sz val="16"/>
        <rFont val="Arial"/>
        <family val="2"/>
        <charset val="204"/>
      </rPr>
      <t xml:space="preserve">
1 створка, 1 компл. петли (втулка, хомут Clamp, болт М6, шайба, гайка)</t>
    </r>
  </si>
  <si>
    <t>Medium</t>
  </si>
  <si>
    <t>Комплект откатных ворот Medium</t>
  </si>
  <si>
    <t>1. Рама ворот составная с заполнением
2. Притворный и Опорные столбы - 3 шт
3. Роликовая система (Ролтэк): опора роликовая с боковым креплением - 2 шт, кронштейн с направляющими резиновыми роликами, ловитель верхний, ловитель нижний, кронштейн ловителя - 2 шт, ролик концевой съёмный, заглушка балки торцевая, саморезы</t>
  </si>
  <si>
    <r>
      <t xml:space="preserve">1. Рама ворот составная с заполнением (кроме ворот Colority Zinc)
2. П-образная рамка - 2 шт
3. Роликовая система (Alutech для откатных ворот): опора роликовая - 2 шт, шина направляющая, ролик опорный, улавливатель нижний, улавливатель верхний, шина с поддерживающими роликами, подставка для роликовых опор - 2 шт, заглушка балки торцевая, анкерные болты
</t>
    </r>
    <r>
      <rPr>
        <sz val="16"/>
        <color indexed="10"/>
        <rFont val="Arial"/>
        <family val="2"/>
        <charset val="204"/>
      </rPr>
      <t>В комплект ворот Colority Zinc заполнение не входит. Заполнение приобретается отдельно.</t>
    </r>
  </si>
  <si>
    <r>
      <t>1. Рама ворот составная с заполнением (кроме ворот 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Zinc) для удобства транспортировки
2. Кронштейн крепления нижнего и верхнего ловителей - 2 шт, Кронштейн крепления поддерживающих роликов - 1 шт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</t>
    </r>
  </si>
  <si>
    <r>
      <t>Profi** 
/ Bastion</t>
    </r>
    <r>
      <rPr>
        <vertAlign val="superscript"/>
        <sz val="16"/>
        <rFont val="Arial"/>
        <family val="2"/>
        <charset val="204"/>
      </rPr>
      <t>1</t>
    </r>
  </si>
  <si>
    <r>
      <t>Панель Profi / Bastion</t>
    </r>
    <r>
      <rPr>
        <vertAlign val="superscript"/>
        <sz val="16"/>
        <rFont val="Arial"/>
        <family val="2"/>
        <charset val="204"/>
      </rPr>
      <t>1</t>
    </r>
  </si>
  <si>
    <r>
      <rPr>
        <vertAlign val="superscript"/>
        <sz val="14"/>
        <rFont val="Arial"/>
        <family val="2"/>
        <charset val="204"/>
      </rPr>
      <t xml:space="preserve">1 </t>
    </r>
    <r>
      <rPr>
        <sz val="14"/>
        <rFont val="Arial"/>
        <family val="2"/>
        <charset val="204"/>
      </rPr>
      <t>Возможно производство откатных ворот Bastion 5/6 (цена = откатных ворот Profi + 10%)</t>
    </r>
  </si>
  <si>
    <t>RAL 7024, 
RAL 8017</t>
  </si>
  <si>
    <t>Заказ / Склад</t>
  </si>
  <si>
    <r>
      <t xml:space="preserve">RR 32 / </t>
    </r>
    <r>
      <rPr>
        <sz val="14"/>
        <rFont val="Arial"/>
        <family val="2"/>
        <charset val="204"/>
      </rPr>
      <t>RAL 1013</t>
    </r>
  </si>
  <si>
    <r>
      <t>RAL 8017 /</t>
    </r>
    <r>
      <rPr>
        <sz val="14"/>
        <rFont val="Arial"/>
        <family val="2"/>
        <charset val="204"/>
      </rPr>
      <t xml:space="preserve"> RAL 1014</t>
    </r>
  </si>
  <si>
    <r>
      <t xml:space="preserve">Секция временного ограждения
</t>
    </r>
    <r>
      <rPr>
        <b/>
        <sz val="16"/>
        <color rgb="FFFF0000"/>
        <rFont val="Arial"/>
        <family val="2"/>
        <charset val="204"/>
      </rPr>
      <t xml:space="preserve">Fan Line*
</t>
    </r>
    <r>
      <rPr>
        <b/>
        <sz val="16"/>
        <rFont val="Arial"/>
        <family val="2"/>
        <charset val="204"/>
      </rPr>
      <t>окрашено - RAL7040</t>
    </r>
    <r>
      <rPr>
        <i/>
        <sz val="16"/>
        <rFont val="Arial"/>
        <family val="2"/>
        <charset val="204"/>
      </rPr>
      <t xml:space="preserve">
в рамке из гнутой трубы</t>
    </r>
    <r>
      <rPr>
        <b/>
        <sz val="16"/>
        <rFont val="Arial"/>
        <family val="2"/>
        <charset val="204"/>
      </rPr>
      <t xml:space="preserve">
</t>
    </r>
    <r>
      <rPr>
        <i/>
        <sz val="16"/>
        <rFont val="Arial"/>
        <family val="2"/>
        <charset val="204"/>
      </rPr>
      <t>ножки переменной высоты в комплекте</t>
    </r>
  </si>
  <si>
    <t>Специальные ножки переменной высоты 
для прохода поворотов ограждения</t>
  </si>
  <si>
    <t>Возможно производство калиток Protect высотой 1,03;1,53;1,73;2,43 (цена = стоимость калиток Profi + 15%)</t>
  </si>
  <si>
    <r>
      <t>АКЦИЯ</t>
    </r>
    <r>
      <rPr>
        <b/>
        <vertAlign val="superscript"/>
        <sz val="12"/>
        <color theme="0"/>
        <rFont val="Arial"/>
        <family val="2"/>
        <charset val="204"/>
      </rPr>
      <t>2</t>
    </r>
  </si>
  <si>
    <r>
      <rPr>
        <b/>
        <vertAlign val="superscript"/>
        <sz val="16"/>
        <rFont val="Arial"/>
        <family val="2"/>
        <charset val="204"/>
      </rPr>
      <t>2</t>
    </r>
    <r>
      <rPr>
        <b/>
        <sz val="16"/>
        <rFont val="Arial"/>
        <family val="2"/>
        <charset val="204"/>
      </rPr>
      <t xml:space="preserve"> Акция на перфорированные ограждения - количество ограничено</t>
    </r>
  </si>
  <si>
    <r>
      <t xml:space="preserve">Комплект натяжения троса </t>
    </r>
    <r>
      <rPr>
        <sz val="16"/>
        <rFont val="Arial"/>
        <family val="2"/>
        <charset val="204"/>
      </rPr>
      <t>(на каждый 3-4 кронштейн)</t>
    </r>
    <r>
      <rPr>
        <b/>
        <sz val="16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(т</t>
    </r>
    <r>
      <rPr>
        <sz val="12"/>
        <rFont val="Arial"/>
        <family val="2"/>
        <charset val="204"/>
      </rPr>
      <t>алреп М12 - 1 шт, рым-гайка М12 - 2 шт, шпилька М12 - 2 шт, шайба М12 - 4 шт, гайка М12 - 2 шт, зажимы для троса М6 - 4 шт, коуш М6 - 2 шт)</t>
    </r>
  </si>
  <si>
    <t>Столб 62х55х1500 мм</t>
  </si>
  <si>
    <t>Панель Medium 1,03х2,2 м приваренная к трубе 40х20</t>
  </si>
  <si>
    <t>Крепление Две скобы + болт М6х100</t>
  </si>
  <si>
    <t>2 шт</t>
  </si>
  <si>
    <r>
      <t>Barrier</t>
    </r>
    <r>
      <rPr>
        <b/>
        <vertAlign val="superscript"/>
        <sz val="16"/>
        <color indexed="8"/>
        <rFont val="Arial"/>
        <family val="2"/>
        <charset val="204"/>
      </rPr>
      <t>2</t>
    </r>
    <r>
      <rPr>
        <b/>
        <sz val="16"/>
        <color indexed="8"/>
        <rFont val="Arial"/>
        <family val="2"/>
        <charset val="204"/>
      </rPr>
      <t xml:space="preserve">:
</t>
    </r>
    <r>
      <rPr>
        <sz val="16"/>
        <color rgb="FF000000"/>
        <rFont val="Arial"/>
        <family val="2"/>
        <charset val="204"/>
      </rPr>
      <t>Панель MEDIUM</t>
    </r>
  </si>
  <si>
    <r>
      <t>Barrier</t>
    </r>
    <r>
      <rPr>
        <b/>
        <vertAlign val="superscript"/>
        <sz val="16"/>
        <color indexed="8"/>
        <rFont val="Arial"/>
        <family val="2"/>
        <charset val="204"/>
      </rPr>
      <t>2</t>
    </r>
    <r>
      <rPr>
        <b/>
        <sz val="16"/>
        <color indexed="8"/>
        <rFont val="Arial"/>
        <family val="2"/>
        <charset val="204"/>
      </rPr>
      <t xml:space="preserve">:
</t>
    </r>
    <r>
      <rPr>
        <sz val="16"/>
        <color rgb="FF000000"/>
        <rFont val="Arial"/>
        <family val="2"/>
        <charset val="204"/>
      </rPr>
      <t>Панель PROFI</t>
    </r>
  </si>
  <si>
    <t>Панель Profi 1,03х2,2 м приваренная к трубе 40х20</t>
  </si>
  <si>
    <r>
      <t xml:space="preserve">Розничная цена 
за 1 шт, 
</t>
    </r>
    <r>
      <rPr>
        <sz val="16"/>
        <rFont val="Arial"/>
        <family val="2"/>
        <charset val="204"/>
      </rPr>
      <t>руб/шт</t>
    </r>
  </si>
  <si>
    <t>Заклепки, окрашенные в цвет ограждения</t>
  </si>
  <si>
    <r>
      <rPr>
        <b/>
        <sz val="16"/>
        <color indexed="8"/>
        <rFont val="Arial"/>
        <family val="2"/>
        <charset val="204"/>
      </rPr>
      <t xml:space="preserve">Grass:
</t>
    </r>
    <r>
      <rPr>
        <sz val="16"/>
        <color rgb="FF000000"/>
        <rFont val="Arial"/>
        <family val="2"/>
        <charset val="204"/>
      </rPr>
      <t xml:space="preserve">Панель PROFI
</t>
    </r>
  </si>
  <si>
    <r>
      <rPr>
        <b/>
        <sz val="16"/>
        <color indexed="8"/>
        <rFont val="Arial"/>
        <family val="2"/>
        <charset val="204"/>
      </rPr>
      <t xml:space="preserve">Grass:
</t>
    </r>
    <r>
      <rPr>
        <sz val="16"/>
        <color rgb="FF000000"/>
        <rFont val="Arial"/>
        <family val="2"/>
        <charset val="204"/>
      </rPr>
      <t xml:space="preserve">Панель MEDIUM
</t>
    </r>
  </si>
  <si>
    <r>
      <t xml:space="preserve">Розничная цена 
за 1 панель, 
</t>
    </r>
    <r>
      <rPr>
        <sz val="16"/>
        <rFont val="Arial"/>
        <family val="2"/>
        <charset val="204"/>
      </rPr>
      <t>руб/шт</t>
    </r>
  </si>
  <si>
    <t>Панель Medium 1,03x2,5 м</t>
  </si>
  <si>
    <t>Панель Profi 1,03x2,5 м</t>
  </si>
  <si>
    <t>Направляющая 60х20х2500 мм</t>
  </si>
  <si>
    <t>Стойка 84х48х1500 мм</t>
  </si>
  <si>
    <t>RAL:
6005
8017</t>
  </si>
  <si>
    <t>Крепление Две скобы+болт М6х40</t>
  </si>
  <si>
    <t>Корпус - алюминиевый сплав
Механизм - дисковый
Диаметр дужки - 10 мм
Внут. высота дужки (в закр. состоянии) - 54 мм</t>
  </si>
  <si>
    <t>серый</t>
  </si>
  <si>
    <t>высота, м</t>
  </si>
  <si>
    <t>ширина, м</t>
  </si>
  <si>
    <t>Калитка</t>
  </si>
  <si>
    <t>Ворота откатные</t>
  </si>
  <si>
    <t>Ворота откатные на кирпичные столбы</t>
  </si>
  <si>
    <t>Ворота распашные</t>
  </si>
  <si>
    <r>
      <t xml:space="preserve">Для ограждений жалюзи 
</t>
    </r>
    <r>
      <rPr>
        <b/>
        <sz val="16"/>
        <color rgb="FFFF0000"/>
        <rFont val="Arial"/>
        <family val="2"/>
        <charset val="204"/>
      </rPr>
      <t>Техас</t>
    </r>
  </si>
  <si>
    <r>
      <t xml:space="preserve">Для любых ограждений жалюзи 
</t>
    </r>
    <r>
      <rPr>
        <b/>
        <sz val="16"/>
        <color rgb="FFFF0000"/>
        <rFont val="Arial"/>
        <family val="2"/>
        <charset val="204"/>
      </rPr>
      <t>с петлями PUMA</t>
    </r>
  </si>
  <si>
    <t>Ворота жалюзи распашные Puma</t>
  </si>
  <si>
    <t>Комплект ворот и калиток:</t>
  </si>
  <si>
    <t>Комплект откатных ворот:</t>
  </si>
  <si>
    <t>Комплект откатных ворот на готовые столбы:</t>
  </si>
  <si>
    <t>В комплект поставки входных групп заполнение не входит. Заполнение приобретается отдельно.</t>
  </si>
  <si>
    <t>1. Рама ворот составная без заполнения для удобства транспортировки.
2. 2 опорных столба П-образных 60*60.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</t>
  </si>
  <si>
    <t>Ворота: 2 створки, 2 столба, регулируемые петли (угол открывания 180°), замок Locinox, ответная планка, 2 ригеля Locinox.
Калитка: 1 створка, 2 столба, регулируемые петли (угол открывания 180°), ответная планка, замок Locinox.</t>
  </si>
  <si>
    <t>1. Рама ворот составная без заполнения для удобства транспортировки.
2. Кронштейн крепления нижнего и верхнего ловителей - 2шт, Кронштейн крепления поддерживающих роликов - 1 шт.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
Отдельно приобретать кронштейны для кирпичных столбов не нужно (входит в п.2 комплекта)</t>
  </si>
  <si>
    <r>
      <t>Входные группы Жалюзи Grand Line</t>
    </r>
    <r>
      <rPr>
        <b/>
        <vertAlign val="superscript"/>
        <sz val="20"/>
        <color indexed="10"/>
        <rFont val="Arial Cyr"/>
        <charset val="204"/>
      </rPr>
      <t>®</t>
    </r>
  </si>
  <si>
    <r>
      <rPr>
        <b/>
        <sz val="16"/>
        <rFont val="Arial"/>
        <family val="2"/>
        <charset val="204"/>
      </rPr>
      <t xml:space="preserve">Для ограждений жалюзи 
</t>
    </r>
    <r>
      <rPr>
        <b/>
        <sz val="16"/>
        <color rgb="FFFF0000"/>
        <rFont val="Arial"/>
        <family val="2"/>
        <charset val="204"/>
      </rPr>
      <t xml:space="preserve">
Милан / Токио / Palermo</t>
    </r>
  </si>
  <si>
    <t>Калитка жалюзи Puma с замком Locinox</t>
  </si>
  <si>
    <t>Калитка жалюзи Puma с электромех. замком</t>
  </si>
  <si>
    <r>
      <t>Комплект ворот и калитки Colority</t>
    </r>
    <r>
      <rPr>
        <b/>
        <vertAlign val="superscript"/>
        <sz val="14"/>
        <rFont val="Arial Cyr"/>
        <charset val="204"/>
      </rPr>
      <t>®</t>
    </r>
    <r>
      <rPr>
        <b/>
        <sz val="14"/>
        <rFont val="Arial Cyr"/>
        <charset val="204"/>
      </rPr>
      <t xml:space="preserve"> Zinc Lock 
(с замком)
</t>
    </r>
    <r>
      <rPr>
        <b/>
        <sz val="14"/>
        <color indexed="10"/>
        <rFont val="Arial Cyr"/>
        <charset val="204"/>
      </rPr>
      <t>рамка из профиля 60х40</t>
    </r>
  </si>
  <si>
    <r>
      <t>Lock</t>
    </r>
    <r>
      <rPr>
        <sz val="16"/>
        <rFont val="Arial"/>
        <family val="2"/>
        <charset val="204"/>
      </rPr>
      <t/>
    </r>
  </si>
  <si>
    <r>
      <t>Ворота 
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Zinc</t>
    </r>
  </si>
  <si>
    <t>Без заполнения</t>
  </si>
  <si>
    <t>1,5 х 3,5</t>
  </si>
  <si>
    <t>1,8 х 3,5</t>
  </si>
  <si>
    <r>
      <rPr>
        <b/>
        <sz val="14"/>
        <rFont val="Arial"/>
        <family val="2"/>
        <charset val="204"/>
      </rPr>
      <t xml:space="preserve">Ворота: </t>
    </r>
    <r>
      <rPr>
        <sz val="14"/>
        <rFont val="Arial"/>
        <family val="2"/>
        <charset val="204"/>
      </rPr>
      <t xml:space="preserve">2 створки, 2 опорных столба, петли, угол открывания 100°, притворная планка, ригель, замок Locinox FORTYLOCK, ответная планка
</t>
    </r>
    <r>
      <rPr>
        <b/>
        <sz val="14"/>
        <rFont val="Arial"/>
        <family val="2"/>
        <charset val="204"/>
      </rPr>
      <t xml:space="preserve">Калитка: </t>
    </r>
    <r>
      <rPr>
        <sz val="14"/>
        <rFont val="Arial"/>
        <family val="2"/>
        <charset val="204"/>
      </rPr>
      <t>1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створка, 2 опорных столба, петли, притворная планка, угол открывания 100°, замок Locinox FORTYLOCK, ответная планка</t>
    </r>
  </si>
  <si>
    <t>1,8 х 4,0</t>
  </si>
  <si>
    <t>2,0 х 3,5</t>
  </si>
  <si>
    <t>2,0 х 4,0</t>
  </si>
  <si>
    <r>
      <t>Калитка 
Colority</t>
    </r>
    <r>
      <rPr>
        <vertAlign val="superscript"/>
        <sz val="16"/>
        <rFont val="Arial"/>
        <family val="2"/>
        <charset val="204"/>
      </rPr>
      <t>®</t>
    </r>
    <r>
      <rPr>
        <sz val="16"/>
        <rFont val="Arial"/>
        <family val="2"/>
        <charset val="204"/>
      </rPr>
      <t xml:space="preserve"> Zinc</t>
    </r>
  </si>
  <si>
    <t>1,5 х 1,0</t>
  </si>
  <si>
    <t>1,8 х 1,0</t>
  </si>
  <si>
    <t>2,0 х 1,0</t>
  </si>
  <si>
    <r>
      <t xml:space="preserve">Комплект для автоматизации распашных ворот
</t>
    </r>
    <r>
      <rPr>
        <b/>
        <sz val="16"/>
        <color rgb="FFFF0000"/>
        <rFont val="Arial"/>
        <family val="2"/>
        <charset val="204"/>
      </rPr>
      <t>(только Profi, Bastion, Medium от 4,5 метра, Protect, Estet, Estet Plus, Жалюзи)</t>
    </r>
  </si>
  <si>
    <t>Ограждения Габион</t>
  </si>
  <si>
    <t>панель 0,4х1,0 м - 4 шт
панель 1,0х1,0 м - 2 шт
спираль 0,4 м - 4 шт
спираль 1,0 м - 8 шт
крюк соединительный - 20 шт</t>
  </si>
  <si>
    <t>Габариты</t>
  </si>
  <si>
    <t>0,4х0,4х0,4 м</t>
  </si>
  <si>
    <t>0,4х0,4х1,0 м</t>
  </si>
  <si>
    <t>1,0х0,4х0,4 м</t>
  </si>
  <si>
    <t>1,0х0,4х1,0 м</t>
  </si>
  <si>
    <r>
      <t xml:space="preserve">Габион 
0,4х0,4х0,4 м
</t>
    </r>
    <r>
      <rPr>
        <i/>
        <sz val="16"/>
        <rFont val="Arial"/>
        <family val="2"/>
        <charset val="204"/>
      </rPr>
      <t>код 1С: 799038</t>
    </r>
  </si>
  <si>
    <r>
      <t xml:space="preserve">Габион 
0,4х0,4х1,0 м
</t>
    </r>
    <r>
      <rPr>
        <i/>
        <sz val="16"/>
        <rFont val="Arial"/>
        <family val="2"/>
        <charset val="204"/>
      </rPr>
      <t>код 1С: 799036</t>
    </r>
  </si>
  <si>
    <r>
      <t xml:space="preserve">Габион 
1,0х0,4х0,4 м
</t>
    </r>
    <r>
      <rPr>
        <i/>
        <sz val="16"/>
        <rFont val="Arial"/>
        <family val="2"/>
        <charset val="204"/>
      </rPr>
      <t>код 1С: 799034</t>
    </r>
  </si>
  <si>
    <r>
      <t xml:space="preserve">Габион 
1,0х0,4х1,0 м
</t>
    </r>
    <r>
      <rPr>
        <i/>
        <sz val="16"/>
        <rFont val="Arial"/>
        <family val="2"/>
        <charset val="204"/>
      </rPr>
      <t>код 1С: 799033</t>
    </r>
  </si>
  <si>
    <t>Вес,
кг</t>
  </si>
  <si>
    <t>Комплект: Электро механический замок в металлическом корпусе*</t>
  </si>
  <si>
    <t>LEKQ6060 U4</t>
  </si>
  <si>
    <t>3006R</t>
  </si>
  <si>
    <r>
      <rPr>
        <b/>
        <sz val="16"/>
        <color rgb="FF000000"/>
        <rFont val="Arial"/>
        <family val="2"/>
        <charset val="204"/>
      </rPr>
      <t>Габион</t>
    </r>
    <r>
      <rPr>
        <sz val="16"/>
        <color rgb="FF000000"/>
        <rFont val="Arial"/>
        <family val="2"/>
        <charset val="204"/>
      </rPr>
      <t xml:space="preserve"> - это сборная конструкция из панелей (карт), которые соединяются между собой спиралями, короб габиона обязательно стягивается крюками по мере наполнения.
</t>
    </r>
    <r>
      <rPr>
        <b/>
        <sz val="16"/>
        <color rgb="FF000000"/>
        <rFont val="Arial"/>
        <family val="2"/>
        <charset val="204"/>
      </rPr>
      <t xml:space="preserve">
</t>
    </r>
    <r>
      <rPr>
        <sz val="16"/>
        <color indexed="8"/>
        <rFont val="Arial"/>
        <family val="2"/>
        <charset val="204"/>
      </rPr>
      <t xml:space="preserve">панель - пруток 3,8 мм; ячейка 200х55 мм
спираль - пруток 3,0 мм
</t>
    </r>
    <r>
      <rPr>
        <b/>
        <sz val="16"/>
        <color rgb="FFFF0000"/>
        <rFont val="Arial"/>
        <family val="2"/>
        <charset val="204"/>
      </rPr>
      <t xml:space="preserve">Установка габионов друг на друга запрещена!
</t>
    </r>
    <r>
      <rPr>
        <sz val="16"/>
        <rFont val="Arial"/>
        <family val="2"/>
        <charset val="204"/>
      </rPr>
      <t>Габион - оцинкованный, неокрашенный</t>
    </r>
  </si>
  <si>
    <t>Ограждения Protect, X-Line, 
Газонные и тротуарные, Габион</t>
  </si>
  <si>
    <t>пакет (кратность) - 4 шт
короб - 200 шт</t>
  </si>
  <si>
    <t>пакет (кратность) - 4 шт
короб - 100 шт</t>
  </si>
  <si>
    <t>панель 0,4х0,4 м - 6 шт
спираль 0,4 м - 12 шт
крюк соединительный - 2 шт</t>
  </si>
  <si>
    <t>панель 0,4х0,4 м - 2 шт
панель 0,4х1,0 м - 4 шт
спираль 0,4 м - 8 шт
спираль 1,0 - 4 шт
крюк соединительный - 5 шт</t>
  </si>
  <si>
    <t>панель 0,4х0,4 м - 2 шт
панель 0,4х1,0 м - 2 шт
панель 1,0х0,4 м - 2 шт
спираль 0,4 м - 8 шт
спираль 1,0 м - 4 шт
крюк соединительный - 8 шт</t>
  </si>
  <si>
    <t>RAL 7024, RAL 8017, RR 32</t>
  </si>
  <si>
    <t>Секции соединяются 
через приваренные к рамкам крюки и втулки</t>
  </si>
  <si>
    <t>* для заказов до 20 бухт, отгрузка со склада</t>
  </si>
  <si>
    <t>**для заказов более 20 бух, поставляется под заказ</t>
  </si>
  <si>
    <r>
      <rPr>
        <b/>
        <sz val="16"/>
        <rFont val="Arial"/>
        <family val="2"/>
        <charset val="204"/>
      </rPr>
      <t>ПББ диаметр 500</t>
    </r>
    <r>
      <rPr>
        <sz val="16"/>
        <rFont val="Arial"/>
        <family val="2"/>
        <charset val="204"/>
      </rPr>
      <t xml:space="preserve"> (4,4 витка на п.м.) Индивид Упак*</t>
    </r>
  </si>
  <si>
    <t>неоцинкованная</t>
  </si>
  <si>
    <r>
      <t xml:space="preserve">Сетка арматурная 150х150х16
</t>
    </r>
    <r>
      <rPr>
        <sz val="16"/>
        <rFont val="Arial"/>
        <family val="2"/>
        <charset val="204"/>
      </rPr>
      <t xml:space="preserve">( = противоподкоп), диаметр прутка 16 мм, ч/м
</t>
    </r>
    <r>
      <rPr>
        <i/>
        <sz val="14"/>
        <rFont val="Arial"/>
        <family val="2"/>
        <charset val="204"/>
      </rPr>
      <t>код: 814313</t>
    </r>
  </si>
  <si>
    <t>0,5 х 2,5 м</t>
  </si>
  <si>
    <t xml:space="preserve">Nice
(Италия) </t>
  </si>
  <si>
    <t>Came
(Италия)</t>
  </si>
  <si>
    <r>
      <t xml:space="preserve">1. Привод </t>
    </r>
    <r>
      <rPr>
        <b/>
        <sz val="16"/>
        <color rgb="FF000000"/>
        <rFont val="Arial"/>
        <family val="2"/>
        <charset val="204"/>
      </rPr>
      <t>Nice</t>
    </r>
    <r>
      <rPr>
        <sz val="16"/>
        <color indexed="8"/>
        <rFont val="Arial"/>
        <family val="2"/>
        <charset val="204"/>
      </rPr>
      <t xml:space="preserve"> (Италия) </t>
    </r>
    <r>
      <rPr>
        <b/>
        <sz val="16"/>
        <color rgb="FF000000"/>
        <rFont val="Arial"/>
        <family val="2"/>
        <charset val="204"/>
      </rPr>
      <t>RD400</t>
    </r>
    <r>
      <rPr>
        <sz val="16"/>
        <color indexed="8"/>
        <rFont val="Arial"/>
        <family val="2"/>
        <charset val="204"/>
      </rPr>
      <t xml:space="preserve"> (для ворот до 5,5 м включительно) или </t>
    </r>
    <r>
      <rPr>
        <b/>
        <sz val="16"/>
        <color rgb="FF000000"/>
        <rFont val="Arial"/>
        <family val="2"/>
        <charset val="204"/>
      </rPr>
      <t>RBS600</t>
    </r>
    <r>
      <rPr>
        <sz val="16"/>
        <color indexed="8"/>
        <rFont val="Arial"/>
        <family val="2"/>
        <charset val="204"/>
      </rPr>
      <t xml:space="preserve"> (для ворот от 6,0 м)
2. Встроенный блок управления
3. Встроенный радиоприемник</t>
    </r>
  </si>
  <si>
    <t>Рейка металлическая с креплением для откатных ворот</t>
  </si>
  <si>
    <r>
      <t xml:space="preserve">Привод электромеханический </t>
    </r>
    <r>
      <rPr>
        <b/>
        <sz val="16"/>
        <rFont val="Arial"/>
        <family val="2"/>
        <charset val="204"/>
      </rPr>
      <t>AXL 20DGS</t>
    </r>
    <r>
      <rPr>
        <sz val="16"/>
        <rFont val="Arial"/>
        <family val="2"/>
        <charset val="204"/>
      </rPr>
      <t xml:space="preserve"> - 2 шт, 
Блок управления - 1 шт, Пульт ДУ - 2 шт, фотоэлементы - 2 шт, Кронштейны крепления к столбам и створкам</t>
    </r>
  </si>
  <si>
    <r>
      <t xml:space="preserve">Привод электромеханический </t>
    </r>
    <r>
      <rPr>
        <b/>
        <sz val="16"/>
        <rFont val="Arial"/>
        <family val="2"/>
        <charset val="204"/>
      </rPr>
      <t>A5000А</t>
    </r>
    <r>
      <rPr>
        <sz val="16"/>
        <rFont val="Arial"/>
        <family val="2"/>
        <charset val="204"/>
      </rPr>
      <t xml:space="preserve"> - 2 шт, 
Блок управления - 1 шт, Пульт ДУ - 2 шт, фотоэлементы - 2 шт, Кронштейны крепления к столбам и створкам</t>
    </r>
  </si>
  <si>
    <r>
      <t xml:space="preserve">Доводчик калитки
</t>
    </r>
    <r>
      <rPr>
        <sz val="14"/>
        <rFont val="Arial"/>
        <family val="2"/>
        <charset val="204"/>
      </rPr>
      <t xml:space="preserve">со скользящей тягой
max вес створки - 100 кг
</t>
    </r>
    <r>
      <rPr>
        <i/>
        <sz val="14"/>
        <rFont val="Arial"/>
        <family val="2"/>
        <charset val="204"/>
      </rPr>
      <t>(код: 669187)</t>
    </r>
  </si>
  <si>
    <r>
      <t xml:space="preserve">GSM модуль Е-01 </t>
    </r>
    <r>
      <rPr>
        <i/>
        <sz val="16"/>
        <color indexed="8"/>
        <rFont val="Arial"/>
        <family val="2"/>
        <charset val="204"/>
      </rPr>
      <t>модуль управления ворота с комплектом для автоматизацией с телефона (по звонку)</t>
    </r>
  </si>
  <si>
    <r>
      <t>Замок навесной</t>
    </r>
    <r>
      <rPr>
        <sz val="16"/>
        <color rgb="FF000000"/>
        <rFont val="Arial"/>
        <family val="2"/>
        <charset val="204"/>
      </rPr>
      <t xml:space="preserve"> D10 "АЛЛЮР" ВС2-4-01С</t>
    </r>
    <r>
      <rPr>
        <sz val="16"/>
        <color indexed="8"/>
        <rFont val="Arial"/>
        <family val="2"/>
        <charset val="204"/>
      </rPr>
      <t xml:space="preserve">
</t>
    </r>
    <r>
      <rPr>
        <i/>
        <sz val="14"/>
        <color rgb="FF000000"/>
        <rFont val="Arial"/>
        <family val="2"/>
        <charset val="204"/>
      </rPr>
      <t>(код: 445803)</t>
    </r>
  </si>
  <si>
    <t>Планка - 1 шт</t>
  </si>
  <si>
    <t>полиэфир (двс + Twincolor)</t>
  </si>
  <si>
    <t>полиэфир (односторонний)</t>
  </si>
  <si>
    <t>Print (рисунок дерево)</t>
  </si>
  <si>
    <t>т</t>
  </si>
  <si>
    <t>г</t>
  </si>
  <si>
    <t>30-35</t>
  </si>
  <si>
    <t>100-140</t>
  </si>
  <si>
    <t>60-140</t>
  </si>
  <si>
    <t>60-100</t>
  </si>
  <si>
    <t>80-100</t>
  </si>
  <si>
    <t>Print-double Elite</t>
  </si>
  <si>
    <t>Print Elite</t>
  </si>
  <si>
    <t>Print-double Premium</t>
  </si>
  <si>
    <t>Print Premium 0,45</t>
  </si>
  <si>
    <t>Velur X</t>
  </si>
  <si>
    <t>Atlas X</t>
  </si>
  <si>
    <t>Drap-double TX</t>
  </si>
  <si>
    <t>Drap TwinColor</t>
  </si>
  <si>
    <t xml:space="preserve">PE 0,45 двс </t>
  </si>
  <si>
    <t>Satin Matt/Satin Matt TX</t>
  </si>
  <si>
    <t>Drap/ Drap TX 0,5</t>
  </si>
  <si>
    <t>Satin</t>
  </si>
  <si>
    <t>PE 0,45</t>
  </si>
  <si>
    <t>PE 0,5</t>
  </si>
  <si>
    <t>Общие элементы</t>
  </si>
  <si>
    <t>прямая 62х55</t>
  </si>
  <si>
    <t>прямая 60х60</t>
  </si>
  <si>
    <t>прямая 80х80</t>
  </si>
  <si>
    <t>угловая 62х55</t>
  </si>
  <si>
    <t>угловая 60х60</t>
  </si>
  <si>
    <t>угловая 80х80</t>
  </si>
  <si>
    <t>Milan</t>
  </si>
  <si>
    <t>ламель</t>
  </si>
  <si>
    <t>стойка</t>
  </si>
  <si>
    <t>крепежный вкладыш</t>
  </si>
  <si>
    <t>крышка</t>
  </si>
  <si>
    <t>крепежная планка</t>
  </si>
  <si>
    <t>для ворот и калиток</t>
  </si>
  <si>
    <t>ламель стартовая / финишная</t>
  </si>
  <si>
    <t>нащельник</t>
  </si>
  <si>
    <t>Milan Slim</t>
  </si>
  <si>
    <t>Tokyo</t>
  </si>
  <si>
    <t>Texas</t>
  </si>
  <si>
    <t>ламель лицевая 50</t>
  </si>
  <si>
    <t>ламель обратная 50</t>
  </si>
  <si>
    <t>ламель лицевая 100</t>
  </si>
  <si>
    <t>ламель обратная 100</t>
  </si>
  <si>
    <t>ламель лицевая 125</t>
  </si>
  <si>
    <t>ламель обратная 125</t>
  </si>
  <si>
    <t>ламель лицевая 150</t>
  </si>
  <si>
    <t>ламель обратная 150</t>
  </si>
  <si>
    <t>ламель лицевая 200</t>
  </si>
  <si>
    <t>ламель обратная 200</t>
  </si>
  <si>
    <t>стойка без крепежного вкладыша</t>
  </si>
  <si>
    <t>стойка под крепежный вкладыш</t>
  </si>
  <si>
    <t>крепежный вкладыш 125</t>
  </si>
  <si>
    <t>крепежный вкладыш 150</t>
  </si>
  <si>
    <t>крышка 30х15</t>
  </si>
  <si>
    <t>крышка 45х20</t>
  </si>
  <si>
    <t>крепежная планка нижняя</t>
  </si>
  <si>
    <t>крепежная планка верхняя</t>
  </si>
  <si>
    <t>ламель лицевая 125 стартовая / финишная</t>
  </si>
  <si>
    <t>ламель обратная 125 стартовая / финишная</t>
  </si>
  <si>
    <t>ламель лицевая 150 стартовая / финишная</t>
  </si>
  <si>
    <t>ламель обратная 150 стартовая / финишная</t>
  </si>
  <si>
    <t>нащельник 125</t>
  </si>
  <si>
    <t>нащельник 150</t>
  </si>
  <si>
    <t>Palermo</t>
  </si>
  <si>
    <t>cтойка боковая крепежная</t>
  </si>
  <si>
    <t>планка опорная составная внешняя</t>
  </si>
  <si>
    <t>планка опорная составная внутренняя</t>
  </si>
  <si>
    <t>планка вертикальная лицевая</t>
  </si>
  <si>
    <t>планка вертикальная обратная</t>
  </si>
  <si>
    <t>крышка 50х75</t>
  </si>
  <si>
    <t>толщина полимерног опокрытия</t>
  </si>
  <si>
    <t>тип полимерного покрытия</t>
  </si>
  <si>
    <t>текстурированное / гладкое</t>
  </si>
  <si>
    <t>Розничная цена, руб / м.п.</t>
  </si>
  <si>
    <r>
      <t>Ограждения Жалюзи Grand Line</t>
    </r>
    <r>
      <rPr>
        <b/>
        <vertAlign val="superscript"/>
        <sz val="20"/>
        <color indexed="10"/>
        <rFont val="Arial"/>
        <family val="2"/>
        <charset val="204"/>
      </rPr>
      <t>®</t>
    </r>
  </si>
  <si>
    <r>
      <t>содержание цинка г/м</t>
    </r>
    <r>
      <rPr>
        <vertAlign val="superscript"/>
        <sz val="14"/>
        <rFont val="Arial"/>
        <family val="2"/>
        <charset val="204"/>
      </rPr>
      <t>2</t>
    </r>
  </si>
  <si>
    <t>Скидка</t>
  </si>
  <si>
    <t>Декоративная накладка 
на столб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</si>
  <si>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Milan | Milan Slim</t>
    </r>
  </si>
  <si>
    <t>Данные для расчета элементов ограждений жалюзи Milan</t>
  </si>
  <si>
    <t>Сторона забора</t>
  </si>
  <si>
    <t>№1</t>
  </si>
  <si>
    <t>№2</t>
  </si>
  <si>
    <t>№3</t>
  </si>
  <si>
    <t>№4</t>
  </si>
  <si>
    <t>Профиль Ламели</t>
  </si>
  <si>
    <t>Ламель Milan</t>
  </si>
  <si>
    <t>выберите из списка</t>
  </si>
  <si>
    <t>Высота секции забора, м</t>
  </si>
  <si>
    <t>Ширина между столбов, м (от 0,51 до 2,5 м, с шагом 1 см), м</t>
  </si>
  <si>
    <t>впишите ширину</t>
  </si>
  <si>
    <t>Кол-во секций, шт</t>
  </si>
  <si>
    <t>впишите количество</t>
  </si>
  <si>
    <r>
      <t>Количество углов 90</t>
    </r>
    <r>
      <rPr>
        <vertAlign val="superscript"/>
        <sz val="10"/>
        <rFont val="Arial"/>
        <family val="2"/>
        <charset val="204"/>
      </rPr>
      <t>о</t>
    </r>
  </si>
  <si>
    <r>
      <t>Количеств углов отличающихся от 90</t>
    </r>
    <r>
      <rPr>
        <vertAlign val="superscript"/>
        <sz val="10"/>
        <rFont val="Arial"/>
        <family val="2"/>
        <charset val="204"/>
      </rPr>
      <t>о</t>
    </r>
  </si>
  <si>
    <t>Кирпичные столбы</t>
  </si>
  <si>
    <t>нет</t>
  </si>
  <si>
    <t>Калитка жалюзи Milan</t>
  </si>
  <si>
    <t>Ворота жалюзи Milan</t>
  </si>
  <si>
    <t>Откатные 2,0х6,0</t>
  </si>
  <si>
    <t>Размер столба</t>
  </si>
  <si>
    <t>Крепежный вкладыш</t>
  </si>
  <si>
    <t xml:space="preserve">Расчет крепежного вкладыша в калькуляторе производится для забора высотой 2м, для иной высоты расчет производится самостоятельно с учетом наращивания или подрезки. </t>
  </si>
  <si>
    <t>Калькулятор считает каждую заполненную сторону, как отдельно стоящие секции забора. Перепроверьте кол-во рассчитанных столбов и декоративных накладок к ним.</t>
  </si>
  <si>
    <t>Спецификация ограждений жалюзи Milan</t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</si>
  <si>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№1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</si>
  <si>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№2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</si>
  <si>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№3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</si>
  <si>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№4</t>
    </r>
  </si>
  <si>
    <t>Размер</t>
  </si>
  <si>
    <t>Кол-во</t>
  </si>
  <si>
    <t>Ограждения жалюзи</t>
  </si>
  <si>
    <t xml:space="preserve">Планка завершающая 50*50 мм </t>
  </si>
  <si>
    <t>Декоративная накладка</t>
  </si>
  <si>
    <t xml:space="preserve">Декоративная накладка угловая </t>
  </si>
  <si>
    <t>Крепежная планка</t>
  </si>
  <si>
    <t>Столб</t>
  </si>
  <si>
    <t xml:space="preserve">Шаблон (для монтажа) 2шт/1заказ </t>
  </si>
  <si>
    <t>Саморезы</t>
  </si>
  <si>
    <t>Саморезы ПШ</t>
  </si>
  <si>
    <t>Шуруп по бетону</t>
  </si>
  <si>
    <t>Дюбель-U 10х61 (полипропилен)</t>
  </si>
  <si>
    <t>Крепежный вкладыш универсальный</t>
  </si>
  <si>
    <t>Калитки</t>
  </si>
  <si>
    <t>Заполнение калиток</t>
  </si>
  <si>
    <t>Нащельник 1,68</t>
  </si>
  <si>
    <t>Нащельник 2,0</t>
  </si>
  <si>
    <t>Нащельник 2,5</t>
  </si>
  <si>
    <t>Ламель стартовая/финишная (для калиток и ворот)</t>
  </si>
  <si>
    <t>Заполнение ворот</t>
  </si>
  <si>
    <t>Крепеж</t>
  </si>
  <si>
    <t>5,5 х 19</t>
  </si>
  <si>
    <t>4,2 х 16</t>
  </si>
  <si>
    <t>Шуруп по бетону (379358, 330611)</t>
  </si>
  <si>
    <t>7,5 х 52</t>
  </si>
  <si>
    <t>Дюбель-U 10х61 полипропилен (303573)</t>
  </si>
  <si>
    <t>Примечания к калькулятору</t>
  </si>
  <si>
    <t>Рекомендуем столбы 62х55х1,4. При высоте ограждения более 2м требуется расчет ветровой нагрузки на столб. Столб сечением 62х55 не рекомендуется!</t>
  </si>
  <si>
    <t>При ширине секции ограждения более 2,5 м требуется расчет ветровой нагрузки на столб. Столб сечением 62х55 не рекомендуется!</t>
  </si>
  <si>
    <t>Если геометрия забора подразумевает наличие углов, отличных от 90 градусов, для каждого такого угла - необходим дополнительный столб (калькулятор считает, добавлять вручную не нужно)</t>
  </si>
  <si>
    <t>Если линия забора имеет разрыв, то на стартовый/финишный столб вместо 2х декоративных накладкок нужно устанавливать 1 декоративную накладку и 1 декоративную накладку угловую. Калькулятор разрывы не учитывает и считает общее количество простых декоративных накладок, при заказе скорректируйте колличество самостоятельно</t>
  </si>
  <si>
    <t>Максимально возможная длина крышки 60х40 – 3 м. Для ламелей длиной более 2,87 метров – используется крышка длиной 3м и будут необходимы заглушки для столба.</t>
  </si>
  <si>
    <t>Стандартные цвета ворот и калиток жалюзи: RAL 6005, 7024, 8017 (срок изготовления - стандартный).
Нестандартные цвета (по цене стандартных): RAL 3005, RR32 (срок изготовления - уточняйте у менеджера).</t>
  </si>
  <si>
    <t xml:space="preserve">Размер в номенклатуре калиток и ворот не является фактическим размером изделия. При монтаже калиток и ворот необходимо строго соблюсти размеры, указные в инструкции по монтажу либо в чертеже.    </t>
  </si>
  <si>
    <t>Комплект ворот и калиток:
Ворота: 2 створки, 2 столба, регулируемые петли (угол открывания 180°), замок Locinox, ответная планка, 2 ригеля Locinox.
Калитка: 1 створка, 2 столба, регулируемые петли (угол открывания 180°), ответная планка, замок Locinox.
В комплект ворот заполнение не входит. 
Комплект откатных ворот 
1. Рама ворот составная без заполнения для удобства транспортировки.
2. 2 опорных столба П-образных 60*60.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
В комплект ворот заполнение не входит (приобретается отдельно) 
Комплект откатных ворот на готовые столбы 
1. Рама ворот составная без заполнения для удобства транспортировки.
2. Кронштейн крепления нижнего и верхнего ловителей - 2шт, Кронштейн крепления поддерживающих роликов - 1 шт.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
Отдельно приобретать кронштейны для кирпичных столбов не нужно (входит в п.2 комплекта)
В комплект ворот заполнение не входит (приобретается отдельно)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</si>
  <si>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Tokyo</t>
    </r>
  </si>
  <si>
    <t>Данные для расчета элементов ограждений жалюзи Tokyo</t>
  </si>
  <si>
    <r>
      <t>Количество углов отличающихся от 90</t>
    </r>
    <r>
      <rPr>
        <vertAlign val="superscript"/>
        <sz val="10"/>
        <rFont val="Arial"/>
        <family val="2"/>
        <charset val="204"/>
      </rPr>
      <t>о</t>
    </r>
  </si>
  <si>
    <t>Калитка жалюзи Tokyo</t>
  </si>
  <si>
    <t>Ворота жалюзи Tokyo</t>
  </si>
  <si>
    <t>да</t>
  </si>
  <si>
    <t>Спецификация ограждений жалюзи Tokyo</t>
  </si>
  <si>
    <t>ЛамельTokyo</t>
  </si>
  <si>
    <t>Стойка</t>
  </si>
  <si>
    <t>Крепежный вкладыш (универсальный)</t>
  </si>
  <si>
    <t>Крышка для калиток и ворот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</si>
  <si>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Texas</t>
    </r>
  </si>
  <si>
    <t>Данные для расчета элементов ограждений жалюзи Texas</t>
  </si>
  <si>
    <t>Вид забора (ширина ламелей)</t>
  </si>
  <si>
    <t>ламель125</t>
  </si>
  <si>
    <r>
      <rPr>
        <sz val="10"/>
        <color rgb="FFC00000"/>
        <rFont val="Arial"/>
        <family val="2"/>
        <charset val="204"/>
      </rPr>
      <t>1.</t>
    </r>
    <r>
      <rPr>
        <sz val="10"/>
        <rFont val="Arial"/>
        <family val="2"/>
        <charset val="204"/>
      </rPr>
      <t xml:space="preserve"> выберите из списка</t>
    </r>
  </si>
  <si>
    <t>Величина свободного зазора между ламелями*</t>
  </si>
  <si>
    <t>25мм</t>
  </si>
  <si>
    <r>
      <rPr>
        <sz val="10"/>
        <color rgb="FFC00000"/>
        <rFont val="Arial"/>
        <family val="2"/>
        <charset val="204"/>
      </rPr>
      <t>2.</t>
    </r>
    <r>
      <rPr>
        <sz val="10"/>
        <rFont val="Arial"/>
        <family val="2"/>
        <charset val="204"/>
      </rPr>
      <t xml:space="preserve"> выберите из списка каждый раз после смены ламели и разора</t>
    </r>
  </si>
  <si>
    <r>
      <rPr>
        <sz val="10"/>
        <color rgb="FFC00000"/>
        <rFont val="Arial"/>
        <family val="2"/>
        <charset val="204"/>
      </rPr>
      <t>3.</t>
    </r>
    <r>
      <rPr>
        <sz val="10"/>
        <rFont val="Arial"/>
        <family val="2"/>
        <charset val="204"/>
      </rPr>
      <t xml:space="preserve"> выберите из списка каждый раз после смены ламели и разора</t>
    </r>
  </si>
  <si>
    <t>Калитка жалюзи Texas</t>
  </si>
  <si>
    <t>Ворота жалюзи Texas</t>
  </si>
  <si>
    <t>Спецификация ограждений жалюзи Texas</t>
  </si>
  <si>
    <t>Ламель лицевая 50</t>
  </si>
  <si>
    <t>Ламель обратная 50</t>
  </si>
  <si>
    <t>Ламель лицевая 100</t>
  </si>
  <si>
    <t>Ламель обратная 100</t>
  </si>
  <si>
    <t>Ламель лицевая 125</t>
  </si>
  <si>
    <t>Ламель обратная 125</t>
  </si>
  <si>
    <t>Ламель лицевая 150</t>
  </si>
  <si>
    <t>Ламель обратная 150</t>
  </si>
  <si>
    <t>Ламель лицевая 200</t>
  </si>
  <si>
    <t>Ламель обратная 200</t>
  </si>
  <si>
    <t>Зазор между планками</t>
  </si>
  <si>
    <t>Крышка 30х15</t>
  </si>
  <si>
    <t>Крышка 30х20</t>
  </si>
  <si>
    <t>Крышка 45х20</t>
  </si>
  <si>
    <t>Крепежная планка верхняя</t>
  </si>
  <si>
    <t>Крепежная планка нижняя</t>
  </si>
  <si>
    <t>Столб 62х55</t>
  </si>
  <si>
    <t>Саморезы ПШС</t>
  </si>
  <si>
    <t>Ламель лицевая 125 стартовая/финишная (для калиток и ворот)</t>
  </si>
  <si>
    <t>Ламель обратная 125 стартовая/финишная (для калиток и ворот)</t>
  </si>
  <si>
    <t xml:space="preserve">Ламель лицевая 150 стартовая/финишная (для калиток и ворот) </t>
  </si>
  <si>
    <t>Ламель обратная 150 стартовая/финишная (для калиток и ворот)</t>
  </si>
  <si>
    <t>Стойка (для калиток и ворот)</t>
  </si>
  <si>
    <t>Нащельник 125 (L 1,5)</t>
  </si>
  <si>
    <t>Нащельник 125 (L 1,8)</t>
  </si>
  <si>
    <t>Нащельник 125 (L 2,0)</t>
  </si>
  <si>
    <t>Нащельник 150 (L 1,5)</t>
  </si>
  <si>
    <t>Нащельник 150 (L 1,8)</t>
  </si>
  <si>
    <t>Нащельник 150 (L 2,0)</t>
  </si>
  <si>
    <t>Закплепки</t>
  </si>
  <si>
    <t>Ламель лицевая 125 стартовая/финишная</t>
  </si>
  <si>
    <t>Ламель обратная 125 стартовая/финишная</t>
  </si>
  <si>
    <t>Ламель лицевая 150 стартовая/финишная</t>
  </si>
  <si>
    <t>Ламель обратная 150 стартовая/финишная</t>
  </si>
  <si>
    <t>Заклепки</t>
  </si>
  <si>
    <t>4,2x19</t>
  </si>
  <si>
    <t>4,2x16</t>
  </si>
  <si>
    <t>4,0х10</t>
  </si>
  <si>
    <t>7,5х52</t>
  </si>
  <si>
    <t>Рекомендуем следующие вытоты забора:
          - ламель 125, зазор между ламелями 25 мм, высота секции забора: 1,05 / 1,2 / 1,35 / 1,5 / 1,65 / 1,8 / 1,95 / 2,1 / 2,4 / 2,55 / 2,7 / 2,85 м
          - ламель 150, зазор между ламелями 25 мм, высота секции забора: 1,05 / 1,4 / 1,75 / 2,1 / 2,45 / 2,8 м
          - ламель 150, зазор между ламелями 50 мм, высота секции забора: 1,0 / 1,2 / 1,4 / 1,6 / 1,8 / 2,0 / 2,2 / 2,4 / 2,6 / 2,8 / 3,0 м</t>
  </si>
  <si>
    <t>Если линия забора имеет разрыв, то на стартовый/финишный столб вместо 2х декоративных накладкок нужно устанавливать 2 декоративных накладки угловые. Калькулятор разрывы не учитывает и считает общее количество простых декоративных накладок, при заказе скорректируйте колличество самостоятельно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</si>
  <si>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Palermo</t>
    </r>
  </si>
  <si>
    <t>Данные для расчета элементов ограждений жалюзи Palermo</t>
  </si>
  <si>
    <t>Калитка жалюзи Palermo</t>
  </si>
  <si>
    <t>Ворота жалюзи Palermo</t>
  </si>
  <si>
    <t>Спецификация ограждений жалюзи  Palermo</t>
  </si>
  <si>
    <t>Ламель Palermo</t>
  </si>
  <si>
    <t>Стойка боковая крепежная</t>
  </si>
  <si>
    <t>Планка опорная составная внешняя</t>
  </si>
  <si>
    <t>Планка опорная составная внутренняя</t>
  </si>
  <si>
    <t>Планка вертикальная лицевая</t>
  </si>
  <si>
    <t>Планка вертикальная обратная</t>
  </si>
  <si>
    <t>Крышка 50х75</t>
  </si>
  <si>
    <t>Ламель Palermo стартовая/финишная</t>
  </si>
  <si>
    <t>Планка опорная внутренняя</t>
  </si>
  <si>
    <t>Планка опорная внешняя</t>
  </si>
  <si>
    <t>Ламели Palermo</t>
  </si>
  <si>
    <t>Ламели Palermo стартовая/финишная</t>
  </si>
  <si>
    <t>Планка опорная внутренная</t>
  </si>
  <si>
    <t>4,2 х 19</t>
  </si>
  <si>
    <t>Рекомендуем столбы 62х55х1,4.При высоте ограждения более 2м требуется расчет ветровой нагрузки на столб. Столб сечением 62х55 не рекомендуется!</t>
  </si>
  <si>
    <t>Общая длина забора, м</t>
  </si>
  <si>
    <t>впишите величину</t>
  </si>
  <si>
    <t>Ширина секции, мм (от 500 до 3000 мм)</t>
  </si>
  <si>
    <t>Высота забора, мм (max 2000 мм)</t>
  </si>
  <si>
    <t>Полукруглый Slim GL</t>
  </si>
  <si>
    <t>Примерный промежуток м/у штакетинами, мм</t>
  </si>
  <si>
    <t>Тип заполнения</t>
  </si>
  <si>
    <t>двусторонний</t>
  </si>
  <si>
    <t>Количество углов у забора</t>
  </si>
  <si>
    <t>Входные группы</t>
  </si>
  <si>
    <t>Калитка 1,68м х 1,0м</t>
  </si>
  <si>
    <t>Ворота откатные 2м х 4м</t>
  </si>
  <si>
    <t>Итого</t>
  </si>
  <si>
    <t>Тип штакетника (ширина)</t>
  </si>
  <si>
    <t>Длина штакетника, мм</t>
  </si>
  <si>
    <t>Крышка для забора</t>
  </si>
  <si>
    <t xml:space="preserve">Декоративная накладка </t>
  </si>
  <si>
    <t>прямая</t>
  </si>
  <si>
    <t>угловая</t>
  </si>
  <si>
    <t xml:space="preserve">Планка вертикальная </t>
  </si>
  <si>
    <t>лицевая</t>
  </si>
  <si>
    <t>обратная</t>
  </si>
  <si>
    <t>Столбы, шт</t>
  </si>
  <si>
    <t>Саморезы 4,2 *16 для штакетника</t>
  </si>
  <si>
    <t>Саморезы 5,5 *19 для вертикальной планки</t>
  </si>
  <si>
    <t>Данные по ограждению</t>
  </si>
  <si>
    <t>Справочная инфо</t>
  </si>
  <si>
    <t>1 секция</t>
  </si>
  <si>
    <t>всего</t>
  </si>
  <si>
    <t>односторонний</t>
  </si>
  <si>
    <t>шахматка сторона a</t>
  </si>
  <si>
    <t>Количество штакетин в секции, шт</t>
  </si>
  <si>
    <r>
      <t xml:space="preserve">шахматка сторона </t>
    </r>
    <r>
      <rPr>
        <i/>
        <sz val="10"/>
        <rFont val="Open Sans"/>
        <family val="2"/>
        <charset val="204"/>
      </rPr>
      <t>b</t>
    </r>
  </si>
  <si>
    <t>Количество штакетин в заказе всего, шт</t>
  </si>
  <si>
    <t>Количество секций всего, шт</t>
  </si>
  <si>
    <t>Рекомендуемые товары</t>
  </si>
  <si>
    <t xml:space="preserve">Магнитная насадка </t>
  </si>
  <si>
    <t>Корректор для ремонта царапин</t>
  </si>
  <si>
    <t>Данные по Калиткам</t>
  </si>
  <si>
    <t>1 калитка</t>
  </si>
  <si>
    <t>Количество штакетин в Калитке, шт</t>
  </si>
  <si>
    <t>Данные по воротам</t>
  </si>
  <si>
    <t>Справочная инфо  Ворота</t>
  </si>
  <si>
    <t>1 створка</t>
  </si>
  <si>
    <t>2 створка</t>
  </si>
  <si>
    <t>3 створка</t>
  </si>
  <si>
    <t>Длина штакетника для створки №1, мм</t>
  </si>
  <si>
    <t>Длина штакетника для створки №2, мм</t>
  </si>
  <si>
    <t>Длина штакетника для створки №3, мм</t>
  </si>
  <si>
    <t>Количество штакетин в одних Воротах, шт</t>
  </si>
  <si>
    <t>шахматка</t>
  </si>
  <si>
    <t>Выбрать калитку</t>
  </si>
  <si>
    <t>ширина</t>
  </si>
  <si>
    <t>высота</t>
  </si>
  <si>
    <t>Планки</t>
  </si>
  <si>
    <t>Калитка 1,68м х 1,5м</t>
  </si>
  <si>
    <t>Калитка 2,0м х 1,0м</t>
  </si>
  <si>
    <t>Калитка Puma 2,0м х 1,0м</t>
  </si>
  <si>
    <t>Калитка 2,0м х 1,5м</t>
  </si>
  <si>
    <t>Калитка 2,5м х 1,0м</t>
  </si>
  <si>
    <t>Выбрать ворота</t>
  </si>
  <si>
    <t>ширина №1</t>
  </si>
  <si>
    <t>ширина №2</t>
  </si>
  <si>
    <t>ширина №3</t>
  </si>
  <si>
    <t>кол-во секций в створке</t>
  </si>
  <si>
    <t>Ворота откатные 1,68м х 3,5м</t>
  </si>
  <si>
    <t>Ворота откатные 1,68м х 4м</t>
  </si>
  <si>
    <t>Ворота откатные 1,68м х 4,5м</t>
  </si>
  <si>
    <t>Ворота откатные 2м х 3,5м</t>
  </si>
  <si>
    <t>Ворота откатные 2м х  4,5м</t>
  </si>
  <si>
    <t>Ворота откатные 2м х 5м</t>
  </si>
  <si>
    <t>Ворота откатные 2м х 5,5м</t>
  </si>
  <si>
    <t>Ворота откатные 2м х 6м</t>
  </si>
  <si>
    <t>Ворота откатные 2,5м х 3,5м</t>
  </si>
  <si>
    <t>Ворота откатные 2,5м х 4м</t>
  </si>
  <si>
    <t>Ворота распашные Puma 1,68м х 4,0м</t>
  </si>
  <si>
    <t>Ворота распашные Puma 2,0м х 4,0м</t>
  </si>
  <si>
    <t>Ворота распашные 1,68м х 3,6м</t>
  </si>
  <si>
    <t>Ворота распашные 1,68м х 4м</t>
  </si>
  <si>
    <t>Ворота распашные 2м х 3,6м</t>
  </si>
  <si>
    <t>Ворота распашные 2м х 4м</t>
  </si>
  <si>
    <t>Круглый GL</t>
  </si>
  <si>
    <t>Прямоугольный GL</t>
  </si>
  <si>
    <t>Ограждения жалюзи Milan и Tokyo</t>
  </si>
  <si>
    <t>Входная группа Milan</t>
  </si>
  <si>
    <t>Старт/финиш ламель Милан(шт), на одну калитку или ворота</t>
  </si>
  <si>
    <t>Обычная ламель Милан (шт), на одну калитку или ворота</t>
  </si>
  <si>
    <t>Вторая Л</t>
  </si>
  <si>
    <t>Входная группа Milan Slim</t>
  </si>
  <si>
    <t>Возможная высота</t>
  </si>
  <si>
    <t>Использование крепежного вкладыша</t>
  </si>
  <si>
    <t>Калитка 1,68х1</t>
  </si>
  <si>
    <t>Калитка 1,68х1,5</t>
  </si>
  <si>
    <t>Калитка 2,0х1</t>
  </si>
  <si>
    <t>Калитка Puma 2,0х1</t>
  </si>
  <si>
    <t>Калитка 2,0х1,5</t>
  </si>
  <si>
    <t>Калитка 2,5х1</t>
  </si>
  <si>
    <t xml:space="preserve"> </t>
  </si>
  <si>
    <t>Распашные 1,68х3,6</t>
  </si>
  <si>
    <t>Распашные Puma 1,68х4,0</t>
  </si>
  <si>
    <t>Распашные Puma 2,0х4,0</t>
  </si>
  <si>
    <t>Распашные 1,68х4,0</t>
  </si>
  <si>
    <t>Распашные 2,0х3,6</t>
  </si>
  <si>
    <t>Распашные 2,0х4,0</t>
  </si>
  <si>
    <t>Откатные 1,68х3,5</t>
  </si>
  <si>
    <t>Откатные 1,68х4,0</t>
  </si>
  <si>
    <t>Откатные 1,68х4,5</t>
  </si>
  <si>
    <t>Откатные 2,0х3,5</t>
  </si>
  <si>
    <t>Откатные 2,0х4,0</t>
  </si>
  <si>
    <t>Откатные 2,0х4,5</t>
  </si>
  <si>
    <t>Откатные 2,5х4,0</t>
  </si>
  <si>
    <t>Откатные 2,0х5,0</t>
  </si>
  <si>
    <t>Откатные 2,0х5,5</t>
  </si>
  <si>
    <t>Калитки Жалюзи</t>
  </si>
  <si>
    <t>Ламели  Milan</t>
  </si>
  <si>
    <t>Ламели Tokyo</t>
  </si>
  <si>
    <t xml:space="preserve">Ламели размер </t>
  </si>
  <si>
    <t xml:space="preserve">Стойки </t>
  </si>
  <si>
    <t>Стойки размер</t>
  </si>
  <si>
    <t xml:space="preserve">Крышки 65х60 </t>
  </si>
  <si>
    <t>Крышки 65х60 размер</t>
  </si>
  <si>
    <t>Саморезы Milan</t>
  </si>
  <si>
    <t>Саморезы Tokyo</t>
  </si>
  <si>
    <t>Высота</t>
  </si>
  <si>
    <t>Старт/финиш</t>
  </si>
  <si>
    <t>Старт/финиш Слим</t>
  </si>
  <si>
    <t>Ламели Milan Slim</t>
  </si>
  <si>
    <t>Ворота Жалюзи</t>
  </si>
  <si>
    <t>Ламели  Milan №1</t>
  </si>
  <si>
    <t>Ламели Tokyo №1</t>
  </si>
  <si>
    <t>Ламели размер  №1</t>
  </si>
  <si>
    <t>Крышки 65х60  №1</t>
  </si>
  <si>
    <t>Крышки 65х60 размер №1</t>
  </si>
  <si>
    <t>Ламели  Milan №2</t>
  </si>
  <si>
    <t>Ламели Tokyo №2</t>
  </si>
  <si>
    <t>Ламели размер  №2</t>
  </si>
  <si>
    <t>Крышки 65х60  №2</t>
  </si>
  <si>
    <t>Крышки 65х60 размер №2</t>
  </si>
  <si>
    <t>Старт/финиш №2</t>
  </si>
  <si>
    <t>Старт/финиш Слим №1</t>
  </si>
  <si>
    <t>Старт/финиш Слим №2</t>
  </si>
  <si>
    <t>Ламели  Milan Slim №1</t>
  </si>
  <si>
    <t>Ламели Slim размер  №1</t>
  </si>
  <si>
    <t>Ламели Milan Slim №2</t>
  </si>
  <si>
    <t>Ламели Slim размер  №2</t>
  </si>
  <si>
    <t>Ограждения жалюзи Texas</t>
  </si>
  <si>
    <t>ламель50</t>
  </si>
  <si>
    <t>ламель100</t>
  </si>
  <si>
    <t>ламель150</t>
  </si>
  <si>
    <t>ламель200</t>
  </si>
  <si>
    <t>ламель 100</t>
  </si>
  <si>
    <t>ламель 125</t>
  </si>
  <si>
    <t>ламель 150</t>
  </si>
  <si>
    <t>Ламель 50</t>
  </si>
  <si>
    <t>Ламель 200</t>
  </si>
  <si>
    <t>меньше (25-50мм в зависимости от высоты забора)</t>
  </si>
  <si>
    <t>50мм</t>
  </si>
  <si>
    <t>больше (50-80мм в зависимости от высоты забора)</t>
  </si>
  <si>
    <t>Вариант монтажа с вкладышем</t>
  </si>
  <si>
    <t>Кол-во ламелей 125</t>
  </si>
  <si>
    <t>Зазор  125</t>
  </si>
  <si>
    <t>Кол-во ламелей 150</t>
  </si>
  <si>
    <t>Зазор 150</t>
  </si>
  <si>
    <t>вид ламели</t>
  </si>
  <si>
    <t>высота секции</t>
  </si>
  <si>
    <t>зазор</t>
  </si>
  <si>
    <t>кол-во ламелей</t>
  </si>
  <si>
    <t>125_25</t>
  </si>
  <si>
    <t>Зазор 25</t>
  </si>
  <si>
    <t>150_25</t>
  </si>
  <si>
    <t>150_50</t>
  </si>
  <si>
    <t>Зазор 50</t>
  </si>
  <si>
    <t>Кол-во ламелей 50</t>
  </si>
  <si>
    <t>Кол-во ламелей 200</t>
  </si>
  <si>
    <t>Кол-во ламелей 100</t>
  </si>
  <si>
    <t>зазор меньше</t>
  </si>
  <si>
    <t>зазор  больше</t>
  </si>
  <si>
    <t>Калитки Texas</t>
  </si>
  <si>
    <t>Ламель 125</t>
  </si>
  <si>
    <t>Ламель 125 стартовая/финишная</t>
  </si>
  <si>
    <t>Ламель 150</t>
  </si>
  <si>
    <t>Ламель 150 стартовая/финишная</t>
  </si>
  <si>
    <t>Стойка 125 стартовая/финишная</t>
  </si>
  <si>
    <t>Стойка 150 стартовая/финишная</t>
  </si>
  <si>
    <t>Заклепки для ламели 125</t>
  </si>
  <si>
    <t>Заклепки для ламели 150</t>
  </si>
  <si>
    <t>ПШС</t>
  </si>
  <si>
    <t>размер</t>
  </si>
  <si>
    <t>кол-во</t>
  </si>
  <si>
    <t>Калитка 1,5х1</t>
  </si>
  <si>
    <t>Калитка 1,8х1</t>
  </si>
  <si>
    <t>Ворота Texas</t>
  </si>
  <si>
    <t>Ламель 125 №1</t>
  </si>
  <si>
    <t>Ламель 125 стартовая/финишная  №1</t>
  </si>
  <si>
    <t>Ламель 150 №1</t>
  </si>
  <si>
    <t>Ламель 150 стартовая/финишная №1</t>
  </si>
  <si>
    <t>Крышка 30х15 №1</t>
  </si>
  <si>
    <t>Крышка 30х20 №1</t>
  </si>
  <si>
    <t>Крышка 30х15 №2</t>
  </si>
  <si>
    <t>Крышка 30х20 №2</t>
  </si>
  <si>
    <t>Ламель 125 №2</t>
  </si>
  <si>
    <t>Ламель 125 стартовая/финишная  №2</t>
  </si>
  <si>
    <t>Ламель 150 №2</t>
  </si>
  <si>
    <t>Ламель 150 стартовая/финишная №2</t>
  </si>
  <si>
    <t>Распашные 1,5х3,6</t>
  </si>
  <si>
    <t>Распашные 1,8х3,6</t>
  </si>
  <si>
    <t>Откатные 1,5х3,5</t>
  </si>
  <si>
    <t>Откатные 1,5х4,0</t>
  </si>
  <si>
    <t>Откатные 1,5х4,5</t>
  </si>
  <si>
    <t>Откатные 1,8х3,5</t>
  </si>
  <si>
    <t>Откатные 1,8х4,0</t>
  </si>
  <si>
    <t>Откатные 1,8х4,5</t>
  </si>
  <si>
    <t>столб 62х55</t>
  </si>
  <si>
    <t>столб 60х60</t>
  </si>
  <si>
    <t>столб 80х80</t>
  </si>
  <si>
    <t>Ограждения жалюзи Palermo</t>
  </si>
  <si>
    <t>Кол-во ламелей</t>
  </si>
  <si>
    <t>высота минус 100мм</t>
  </si>
  <si>
    <t>Ламели  Palermo</t>
  </si>
  <si>
    <t>Ламели  Palermo стартовая/финишная</t>
  </si>
  <si>
    <t xml:space="preserve">Ламели размер 
стартовая/финишная </t>
  </si>
  <si>
    <t>Размер планки</t>
  </si>
  <si>
    <t>Ламели  Palermo №1</t>
  </si>
  <si>
    <t>Ламели размер №1</t>
  </si>
  <si>
    <t>Ламели Palermo стартовая/финишная №1</t>
  </si>
  <si>
    <t>Ламели размер 
стартовая/финишная №1</t>
  </si>
  <si>
    <t>Планка опорная внутренная №1</t>
  </si>
  <si>
    <t>Размер планки №1</t>
  </si>
  <si>
    <t>Планка опорная внешняя №1</t>
  </si>
  <si>
    <t>Ламели  Palermo №2</t>
  </si>
  <si>
    <t>Ламели размер №2</t>
  </si>
  <si>
    <t>Ламели Palermo стартовая/финишная №2</t>
  </si>
  <si>
    <t>Ламели размер 
стартовая/финишная №2</t>
  </si>
  <si>
    <t>Планка опорная внутренная №2</t>
  </si>
  <si>
    <t>Размер планки №2</t>
  </si>
  <si>
    <t>Планка опорная внешняя №2</t>
  </si>
  <si>
    <r>
      <t>Крепление хомут 60</t>
    </r>
    <r>
      <rPr>
        <b/>
        <sz val="16"/>
        <color theme="1" tint="0.34998626667073579"/>
        <rFont val="Arial"/>
        <family val="2"/>
        <charset val="204"/>
      </rPr>
      <t>x</t>
    </r>
    <r>
      <rPr>
        <b/>
        <sz val="16"/>
        <rFont val="Arial"/>
        <family val="2"/>
        <charset val="204"/>
      </rPr>
      <t>40 мм</t>
    </r>
    <r>
      <rPr>
        <b/>
        <sz val="14"/>
        <rFont val="Arial"/>
        <family val="2"/>
        <charset val="204"/>
      </rPr>
      <t xml:space="preserve"> 
</t>
    </r>
    <r>
      <rPr>
        <sz val="14"/>
        <rFont val="Arial"/>
        <family val="2"/>
        <charset val="204"/>
      </rPr>
      <t>(укомплектовано антивандальными гайками М6)</t>
    </r>
  </si>
  <si>
    <r>
      <t>Крепление хомут крайний 60</t>
    </r>
    <r>
      <rPr>
        <b/>
        <sz val="16"/>
        <color theme="1" tint="0.34998626667073579"/>
        <rFont val="Arial"/>
        <family val="2"/>
        <charset val="204"/>
      </rPr>
      <t>x</t>
    </r>
    <r>
      <rPr>
        <b/>
        <sz val="16"/>
        <rFont val="Arial"/>
        <family val="2"/>
        <charset val="204"/>
      </rPr>
      <t>40 мм</t>
    </r>
    <r>
      <rPr>
        <b/>
        <sz val="14"/>
        <rFont val="Arial"/>
        <family val="2"/>
        <charset val="204"/>
      </rPr>
      <t xml:space="preserve"> 
</t>
    </r>
    <r>
      <rPr>
        <sz val="14"/>
        <rFont val="Arial"/>
        <family val="2"/>
        <charset val="204"/>
      </rPr>
      <t>(укомплектовано антивандальными гайками М6)</t>
    </r>
  </si>
  <si>
    <t>64 х 83 мм</t>
  </si>
  <si>
    <t>Ворота: 2 створки, 2 столба, регулируемые петли (угол открывания 180°), ответная планка, замок Locinox
Калитка (с замком Locinox): 1 створка, 2 столба, регулируемые петли (угол открывания 180°), ответная планка, замок Locinox
Калитка (с электромех. замком): 1 створка, 2 столба, регулируемые петли Puma (угол открывания 180°), ответная планка, замок электромеханический Полис 18 (Россия).
Прямоугольный фланец 230х230 - 2шт.</t>
  </si>
  <si>
    <t>&lt;= фланцы усиленные</t>
  </si>
  <si>
    <t>Основание бетонное армированное труба 38/51 мм*</t>
  </si>
  <si>
    <r>
      <t>Примечания:</t>
    </r>
    <r>
      <rPr>
        <sz val="16"/>
        <rFont val="Arial"/>
        <family val="2"/>
        <charset val="204"/>
      </rPr>
      <t xml:space="preserve"> поддерживаются на складе</t>
    </r>
  </si>
  <si>
    <r>
      <t xml:space="preserve">Стандартные цвета:
</t>
    </r>
    <r>
      <rPr>
        <sz val="16"/>
        <rFont val="Arial"/>
        <family val="2"/>
        <charset val="204"/>
      </rPr>
      <t>жёлтый RAL 1021, синий RAL 5005, зелёный RAL 6005, серый RAL 7016, серый RAL 7024, светло-серый RAL 7040, коричневый RAL 8017, тёмно-коричневый RR32, чёрный RAL 9005</t>
    </r>
  </si>
  <si>
    <t>№1 - на складе в цинке</t>
  </si>
  <si>
    <t>Остальные цвета - под заказ</t>
  </si>
  <si>
    <t>№2 - на складе в полимерном покрытии: цвет зеленый RAL 6005</t>
  </si>
  <si>
    <t>№3 - на складе в полимерном покрытии: цвет коричневый RAL 8017</t>
  </si>
  <si>
    <t>№4 - на складе в полимерном покрытии: цвет светло-серый RAL 7040</t>
  </si>
  <si>
    <t>№5 - на складе в полимерном покрытии: цвет серый RAL 7024</t>
  </si>
  <si>
    <r>
      <t xml:space="preserve">Стандартные цвета: </t>
    </r>
    <r>
      <rPr>
        <sz val="16"/>
        <rFont val="Arial"/>
        <family val="2"/>
        <charset val="204"/>
      </rPr>
      <t>жёлтый RAL 1021, синий RAL 5005, зелёный RAL 6005, серый RAL 7016, серый RAL 7024, светло-серый RAL 7040, коричневый RAL 8017, тёмно-коричневый RR32, чёрный RAL 9005</t>
    </r>
  </si>
  <si>
    <t xml:space="preserve">№1 - на складе в цинке   </t>
  </si>
  <si>
    <t xml:space="preserve">№2 - на складе в полимерном покрытии: зеленый RAL 6005 </t>
  </si>
  <si>
    <r>
      <t xml:space="preserve">Остальные цвета </t>
    </r>
    <r>
      <rPr>
        <sz val="16"/>
        <color rgb="FF000000"/>
        <rFont val="Arial"/>
        <family val="2"/>
        <charset val="204"/>
      </rPr>
      <t>- под заказ</t>
    </r>
  </si>
  <si>
    <t>№3 - на складе в полимерном покрытии: светло-серый RAL 7040</t>
  </si>
  <si>
    <t>№4 - на складе в полимерном покрытии: коричневый RAL 8017</t>
  </si>
  <si>
    <t>№5 - на складе в полимерном покрытии: серый RAL 7024</t>
  </si>
  <si>
    <r>
      <t>Стандартные цвета:</t>
    </r>
    <r>
      <rPr>
        <sz val="16"/>
        <rFont val="Arial"/>
        <family val="2"/>
        <charset val="204"/>
      </rPr>
      <t xml:space="preserve"> жёлтый RAL 1021, синий RAL 5005, зелёный RAL 6005, серый RAL 7016, серый RAL 7024, светло-серый RAL 7040, коричневый RAL 8017, тёмно-коричневый RR32, чёрный RAL 9005</t>
    </r>
  </si>
  <si>
    <r>
      <t>Остальные цвета</t>
    </r>
    <r>
      <rPr>
        <sz val="16"/>
        <rFont val="Arial"/>
        <family val="2"/>
        <charset val="204"/>
      </rPr>
      <t xml:space="preserve"> - под заказ</t>
    </r>
  </si>
  <si>
    <r>
      <t xml:space="preserve">Стандартные цвета: </t>
    </r>
    <r>
      <rPr>
        <sz val="16"/>
        <color indexed="8"/>
        <rFont val="Arial"/>
        <family val="2"/>
        <charset val="204"/>
      </rPr>
      <t>жёлтый RAL 1021, синий RAL 5005, зелёный RAL 6005, серый RAL 7016, серый RAL 7024, светло-серый RAL 7040, коричневый RAL 8017, тёмно-коричневый RR32, чёрный RAL 9005</t>
    </r>
  </si>
  <si>
    <r>
      <rPr>
        <b/>
        <sz val="16"/>
        <color rgb="FF000000"/>
        <rFont val="Arial"/>
        <family val="2"/>
        <charset val="204"/>
      </rPr>
      <t>Остальные цвета</t>
    </r>
    <r>
      <rPr>
        <sz val="16"/>
        <color indexed="8"/>
        <rFont val="Arial"/>
        <family val="2"/>
        <charset val="204"/>
      </rPr>
      <t xml:space="preserve"> - под заказ</t>
    </r>
  </si>
  <si>
    <r>
      <rPr>
        <b/>
        <sz val="16"/>
        <rFont val="Arial"/>
        <family val="2"/>
        <charset val="204"/>
      </rPr>
      <t xml:space="preserve">Стандартные цвета PROTECT, X-LINE: 
</t>
    </r>
    <r>
      <rPr>
        <sz val="16"/>
        <rFont val="Arial"/>
        <family val="2"/>
        <charset val="204"/>
      </rPr>
      <t>жёлтый RAL 1021, синий RAL 5005, зелёный RAL 6005, серый RAL 7016, серый RAL 7024, светло-серый RAL 7040, коричневый RAL 8017, тёмно-коричневый RR32, чёрный RAL 9005</t>
    </r>
  </si>
  <si>
    <r>
      <rPr>
        <b/>
        <sz val="16"/>
        <rFont val="Arial"/>
        <family val="2"/>
        <charset val="204"/>
      </rPr>
      <t>Остальные цвета</t>
    </r>
    <r>
      <rPr>
        <sz val="16"/>
        <rFont val="Arial"/>
        <family val="2"/>
        <charset val="204"/>
      </rPr>
      <t xml:space="preserve"> - под заказ</t>
    </r>
  </si>
  <si>
    <t>** - стандартные цвета RAL: 1021, 5005, 6005, 7016, 7024, 7040, 8017, 9005; RR32</t>
  </si>
  <si>
    <t>Цены с НДС указаны на стандартные цвета</t>
  </si>
  <si>
    <t>* - стандартные цвета по RAL: 6005, 7024, 8017, RR32</t>
  </si>
  <si>
    <r>
      <rPr>
        <b/>
        <sz val="14"/>
        <rFont val="Arial Cyr"/>
        <charset val="204"/>
      </rPr>
      <t>Cтандартные цвета по RAL
Profi, Bastion, Medium, Protect:</t>
    </r>
    <r>
      <rPr>
        <sz val="14"/>
        <rFont val="Arial Cyr"/>
        <charset val="204"/>
      </rPr>
      <t xml:space="preserve"> 1021, 5005, 6005, 7016, 7024, 7040, 8017, 9005; RR32
</t>
    </r>
    <r>
      <rPr>
        <b/>
        <sz val="14"/>
        <rFont val="Arial Cyr"/>
        <charset val="204"/>
      </rPr>
      <t>Estet, Estet Plus:</t>
    </r>
    <r>
      <rPr>
        <sz val="14"/>
        <rFont val="Arial Cyr"/>
        <charset val="204"/>
      </rPr>
      <t xml:space="preserve"> 6005, 7024, 8017, RR32
</t>
    </r>
    <r>
      <rPr>
        <b/>
        <sz val="14"/>
        <rFont val="Arial Cyr"/>
        <charset val="204"/>
      </rPr>
      <t>Colority</t>
    </r>
    <r>
      <rPr>
        <b/>
        <vertAlign val="superscript"/>
        <sz val="14"/>
        <rFont val="Arial Cyr"/>
        <charset val="204"/>
      </rPr>
      <t>®</t>
    </r>
    <r>
      <rPr>
        <b/>
        <sz val="14"/>
        <rFont val="Arial Cyr"/>
        <charset val="204"/>
      </rPr>
      <t xml:space="preserve"> Zinc:</t>
    </r>
    <r>
      <rPr>
        <sz val="14"/>
        <rFont val="Arial Cyr"/>
        <charset val="204"/>
      </rPr>
      <t xml:space="preserve"> 6005, 7024, 7040, 8017, RR32</t>
    </r>
  </si>
  <si>
    <r>
      <rPr>
        <b/>
        <sz val="16"/>
        <rFont val="Arial"/>
        <family val="2"/>
        <charset val="204"/>
      </rPr>
      <t>Стандартные цвета:</t>
    </r>
    <r>
      <rPr>
        <sz val="16"/>
        <rFont val="Arial"/>
        <family val="2"/>
        <charset val="204"/>
      </rPr>
      <t xml:space="preserve"> RAL 6005, 
RAL 7024, RAL 8017, RR 32</t>
    </r>
  </si>
  <si>
    <r>
      <rPr>
        <b/>
        <u/>
        <sz val="16"/>
        <rFont val="Arial"/>
        <family val="2"/>
        <charset val="204"/>
      </rPr>
      <t>Заказные (не складские) панели</t>
    </r>
    <r>
      <rPr>
        <sz val="16"/>
        <rFont val="Arial"/>
        <family val="2"/>
        <charset val="204"/>
      </rPr>
      <t xml:space="preserve"> изготавливаются от 60 штук каждой номенклатуры при условии, что панели являются складскими в цинке. </t>
    </r>
  </si>
  <si>
    <t>Заказы в стандартных цветах принимаются от 60 шт. Остальные цвета по запросу согласно каталогу RAL в количестве не менее 240 шт.</t>
  </si>
  <si>
    <r>
      <t xml:space="preserve">Привод электромеханический </t>
    </r>
    <r>
      <rPr>
        <b/>
        <sz val="16"/>
        <rFont val="Arial"/>
        <family val="2"/>
        <charset val="204"/>
      </rPr>
      <t>WG 2024</t>
    </r>
    <r>
      <rPr>
        <sz val="16"/>
        <rFont val="Arial"/>
        <family val="2"/>
        <charset val="204"/>
      </rPr>
      <t xml:space="preserve"> (со встр. приемником) - 2 шт, 
Блок управления - 1 шт, Пульт ДУ - 2 шт, Кронштейны крепления к столбам и створкам</t>
    </r>
  </si>
  <si>
    <t>код: 823428</t>
  </si>
  <si>
    <r>
      <t xml:space="preserve">1. Привод </t>
    </r>
    <r>
      <rPr>
        <b/>
        <sz val="16"/>
        <color rgb="FF000000"/>
        <rFont val="Arial"/>
        <family val="2"/>
        <charset val="204"/>
      </rPr>
      <t>Came</t>
    </r>
    <r>
      <rPr>
        <sz val="16"/>
        <color indexed="8"/>
        <rFont val="Arial"/>
        <family val="2"/>
        <charset val="204"/>
      </rPr>
      <t xml:space="preserve"> (Италия) </t>
    </r>
    <r>
      <rPr>
        <b/>
        <sz val="16"/>
        <color rgb="FF000000"/>
        <rFont val="Arial"/>
        <family val="2"/>
        <charset val="204"/>
      </rPr>
      <t>BXL04AGS</t>
    </r>
    <r>
      <rPr>
        <sz val="16"/>
        <color indexed="8"/>
        <rFont val="Arial"/>
        <family val="2"/>
        <charset val="204"/>
      </rPr>
      <t xml:space="preserve"> (для ворот до 5,5 м включит.) или </t>
    </r>
    <r>
      <rPr>
        <b/>
        <sz val="16"/>
        <color rgb="FF000000"/>
        <rFont val="Arial"/>
        <family val="2"/>
        <charset val="204"/>
      </rPr>
      <t>BX608AGS</t>
    </r>
    <r>
      <rPr>
        <sz val="16"/>
        <color indexed="8"/>
        <rFont val="Arial"/>
        <family val="2"/>
        <charset val="204"/>
      </rPr>
      <t xml:space="preserve"> (для ворот от 6,0 м)
2. Встроенный блок управления
3. Встроенный радиоприемник</t>
    </r>
  </si>
  <si>
    <t>код: 823431</t>
  </si>
  <si>
    <t>4. Пульт ДУ 
5. Зубчатая рейка с креплением 
до 6,0 м включит. - пластиковая
от 6,5 м - металлическая оцинкованная</t>
  </si>
  <si>
    <t>4. Пульт ДУ
5. Зубчатая рейка с креплением 
до 6,0 м включит. - пластиковая
от 6,5 м - металлическая оцинкованная</t>
  </si>
  <si>
    <t>код: 823429, 823427, 823416, 823415, 823418, 823419, 823420, 823413, 823421, 823422, 823423, 823424, 823425, 823429</t>
  </si>
  <si>
    <t>код: 119619</t>
  </si>
  <si>
    <t>код: 080670</t>
  </si>
  <si>
    <t>код: 058364, 057040, 057041, 057042, 057043, 057044, 057045, 088848, 065531, 060999, 059180, 090939, 058559</t>
  </si>
  <si>
    <t>Труба 40*20*2500 мм - 2 шт.   
Cтолб 62*55*2500 (3000) мм  - 1 шт. 
Х-кронштейн Pro- 2 шт.
(заполнение в комплект не входит)</t>
  </si>
  <si>
    <r>
      <t>Grand Line</t>
    </r>
    <r>
      <rPr>
        <b/>
        <vertAlign val="superscript"/>
        <sz val="18"/>
        <rFont val="Arial"/>
        <family val="2"/>
        <charset val="204"/>
      </rPr>
      <t>®</t>
    </r>
    <r>
      <rPr>
        <b/>
        <sz val="18"/>
        <rFont val="Arial"/>
        <family val="2"/>
        <charset val="204"/>
      </rPr>
      <t xml:space="preserve">
Colority</t>
    </r>
    <r>
      <rPr>
        <b/>
        <vertAlign val="superscript"/>
        <sz val="18"/>
        <rFont val="Arial"/>
        <family val="2"/>
        <charset val="204"/>
      </rPr>
      <t>®</t>
    </r>
  </si>
  <si>
    <r>
      <t>Труба 40*20*3000 мм - 2 шт.</t>
    </r>
    <r>
      <rPr>
        <sz val="14"/>
        <rFont val="Arial"/>
        <family val="2"/>
        <charset val="204"/>
      </rPr>
      <t xml:space="preserve"> </t>
    </r>
    <r>
      <rPr>
        <sz val="16"/>
        <color theme="1" tint="0.249977111117893"/>
        <rFont val="Arial"/>
        <family val="2"/>
        <charset val="204"/>
      </rPr>
      <t>(ч/м + полимер)</t>
    </r>
    <r>
      <rPr>
        <sz val="18"/>
        <rFont val="Arial"/>
        <family val="2"/>
        <charset val="204"/>
      </rPr>
      <t xml:space="preserve">
Cтолб 60*60*3000 мм  - 1 шт.</t>
    </r>
    <r>
      <rPr>
        <sz val="16"/>
        <color theme="1" tint="0.249977111117893"/>
        <rFont val="Arial"/>
        <family val="2"/>
        <charset val="204"/>
      </rPr>
      <t xml:space="preserve"> (ч/м + полимер)</t>
    </r>
    <r>
      <rPr>
        <sz val="18"/>
        <rFont val="Arial"/>
        <family val="2"/>
        <charset val="204"/>
      </rPr>
      <t xml:space="preserve">
Х-кронштейн 60x40 - 2 шт.
(заполнение в комплект не входит)</t>
    </r>
  </si>
  <si>
    <r>
      <t xml:space="preserve">Труба
оцинкованная
</t>
    </r>
    <r>
      <rPr>
        <i/>
        <sz val="18"/>
        <rFont val="Arial"/>
        <family val="2"/>
        <charset val="204"/>
      </rPr>
      <t>Colority Цинк</t>
    </r>
  </si>
  <si>
    <r>
      <t xml:space="preserve">Труба
черный металл
</t>
    </r>
    <r>
      <rPr>
        <i/>
        <sz val="18"/>
        <rFont val="Arial"/>
        <family val="2"/>
        <charset val="204"/>
      </rPr>
      <t>Colority</t>
    </r>
  </si>
  <si>
    <r>
      <t xml:space="preserve"> Cтолб + заглушка
черный металл
</t>
    </r>
    <r>
      <rPr>
        <i/>
        <sz val="18"/>
        <rFont val="Arial"/>
        <family val="2"/>
        <charset val="204"/>
      </rPr>
      <t>Colority</t>
    </r>
  </si>
  <si>
    <r>
      <t xml:space="preserve">Х-кронштейн Pro
</t>
    </r>
    <r>
      <rPr>
        <i/>
        <sz val="18"/>
        <rFont val="Arial"/>
        <family val="2"/>
        <charset val="204"/>
      </rPr>
      <t>Colority Цинк для 62х55 - 40х20</t>
    </r>
  </si>
  <si>
    <r>
      <t xml:space="preserve">Х-кронштейн 60x40
</t>
    </r>
    <r>
      <rPr>
        <i/>
        <sz val="18"/>
        <rFont val="Arial"/>
        <family val="2"/>
        <charset val="204"/>
      </rPr>
      <t>Colority для 60х60 - 40х20</t>
    </r>
  </si>
  <si>
    <t>цинк + полимер</t>
  </si>
  <si>
    <t>ч/м + полимер</t>
  </si>
  <si>
    <t>№ 1,2</t>
  </si>
  <si>
    <t>№ 2,3,5</t>
  </si>
  <si>
    <t>№ 1,2,3,4,5</t>
  </si>
  <si>
    <t>№ 1,2,5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</si>
</sst>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р_._-;\-* #,##0.00_р_._-;_-* &quot;-&quot;??_р_._-;_-@_-"/>
    <numFmt numFmtId="165" formatCode="0.000"/>
    <numFmt numFmtId="166" formatCode="0.0"/>
    <numFmt numFmtId="167" formatCode="_([$€]* #,##0.00_);_([$€]* \(#,##0.00\);_([$€]* &quot;-&quot;??_);_(@_)"/>
    <numFmt numFmtId="168" formatCode="#,##0.00_р_."/>
    <numFmt numFmtId="169" formatCode="#,##0_р_."/>
    <numFmt numFmtId="170" formatCode="_(* #,##0.00_);_(* \(#,##0.00\);_(* &quot;-&quot;??_);_(@_)"/>
    <numFmt numFmtId="171" formatCode="_([$€]* #,##0.00_);_([$€]* \(#,##0.00\);_([$€]* \-??_);_(@_)"/>
    <numFmt numFmtId="172" formatCode="_(\$* #,##0.00_);_(\$* \(#,##0.00\);_(\$* \-??_);_(@_)"/>
    <numFmt numFmtId="173" formatCode="_-* #,##0.00_р_._-;\-* #,##0.00_р_._-;_-* \-??_р_._-;_-@_-"/>
    <numFmt numFmtId="174" formatCode="0.0%"/>
    <numFmt numFmtId="175" formatCode="#,##0.00_ ;\-#,##0.00\ "/>
    <numFmt numFmtId="176" formatCode="0_ ;\-0\ "/>
    <numFmt numFmtId="177" formatCode="0.000000"/>
    <numFmt numFmtId="178" formatCode="#,##0.0"/>
  </numFmts>
  <fonts count="2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177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6"/>
      <color indexed="10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name val="Arial Cyr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sz val="10"/>
      <name val="Arial"/>
      <family val="2"/>
      <charset val="204"/>
    </font>
    <font>
      <b/>
      <sz val="20"/>
      <color indexed="10"/>
      <name val="Arial"/>
      <family val="2"/>
      <charset val="204"/>
    </font>
    <font>
      <sz val="22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20"/>
      <name val="Arial"/>
      <family val="2"/>
      <charset val="204"/>
    </font>
    <font>
      <sz val="26"/>
      <name val="Arial"/>
      <family val="2"/>
      <charset val="204"/>
    </font>
    <font>
      <b/>
      <sz val="26"/>
      <name val="Arial"/>
      <family val="2"/>
      <charset val="204"/>
    </font>
    <font>
      <b/>
      <sz val="36"/>
      <color indexed="10"/>
      <name val="Arial"/>
      <family val="2"/>
      <charset val="204"/>
    </font>
    <font>
      <sz val="24"/>
      <name val="Arial"/>
      <family val="2"/>
      <charset val="204"/>
    </font>
    <font>
      <b/>
      <sz val="36"/>
      <name val="Arial"/>
      <family val="2"/>
      <charset val="204"/>
    </font>
    <font>
      <b/>
      <sz val="24"/>
      <name val="Arial"/>
      <family val="2"/>
      <charset val="204"/>
    </font>
    <font>
      <sz val="24"/>
      <name val="Arial Cyr"/>
      <charset val="204"/>
    </font>
    <font>
      <sz val="12"/>
      <color indexed="8"/>
      <name val="Arial"/>
      <family val="2"/>
      <charset val="204"/>
    </font>
    <font>
      <sz val="16"/>
      <color indexed="8"/>
      <name val="Calibri"/>
      <family val="2"/>
      <charset val="204"/>
    </font>
    <font>
      <b/>
      <sz val="48"/>
      <name val="Arial"/>
      <family val="2"/>
      <charset val="204"/>
    </font>
    <font>
      <sz val="10"/>
      <name val="Arial"/>
      <family val="2"/>
      <charset val="204"/>
    </font>
    <font>
      <sz val="16"/>
      <color indexed="10"/>
      <name val="Arial"/>
      <family val="2"/>
      <charset val="204"/>
    </font>
    <font>
      <sz val="20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6"/>
      <color indexed="8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indexed="10"/>
      <name val="Arial"/>
      <family val="2"/>
      <charset val="204"/>
    </font>
    <font>
      <b/>
      <vertAlign val="superscript"/>
      <sz val="20"/>
      <color indexed="10"/>
      <name val="Arial"/>
      <family val="2"/>
      <charset val="204"/>
    </font>
    <font>
      <sz val="8"/>
      <name val="Arial"/>
      <family val="2"/>
      <charset val="204"/>
    </font>
    <font>
      <b/>
      <sz val="18"/>
      <color indexed="8"/>
      <name val="Arial"/>
      <family val="2"/>
      <charset val="204"/>
    </font>
    <font>
      <sz val="16"/>
      <name val="Arial Cyr"/>
      <charset val="204"/>
    </font>
    <font>
      <sz val="18"/>
      <name val="Arial Cyr"/>
      <charset val="204"/>
    </font>
    <font>
      <sz val="20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u/>
      <sz val="16"/>
      <name val="Arial"/>
      <family val="2"/>
      <charset val="204"/>
    </font>
    <font>
      <b/>
      <vertAlign val="superscript"/>
      <sz val="16"/>
      <name val="Arial"/>
      <family val="2"/>
      <charset val="204"/>
    </font>
    <font>
      <u/>
      <sz val="16"/>
      <name val="Arial"/>
      <family val="2"/>
      <charset val="204"/>
    </font>
    <font>
      <b/>
      <sz val="16"/>
      <color indexed="63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vertAlign val="superscript"/>
      <sz val="20"/>
      <color indexed="10"/>
      <name val="Calibri"/>
      <family val="2"/>
      <charset val="204"/>
    </font>
    <font>
      <b/>
      <sz val="14"/>
      <color indexed="10"/>
      <name val="Arial"/>
      <family val="2"/>
      <charset val="204"/>
    </font>
    <font>
      <b/>
      <sz val="14"/>
      <color indexed="63"/>
      <name val="Arial"/>
      <family val="2"/>
      <charset val="204"/>
    </font>
    <font>
      <sz val="28"/>
      <name val="Arial"/>
      <family val="2"/>
      <charset val="204"/>
    </font>
    <font>
      <b/>
      <u/>
      <sz val="14"/>
      <color indexed="63"/>
      <name val="Arial"/>
      <family val="2"/>
      <charset val="204"/>
    </font>
    <font>
      <i/>
      <sz val="16"/>
      <name val="Arial"/>
      <family val="2"/>
      <charset val="204"/>
    </font>
    <font>
      <i/>
      <u/>
      <sz val="16"/>
      <name val="Arial"/>
      <family val="2"/>
      <charset val="204"/>
    </font>
    <font>
      <b/>
      <u/>
      <sz val="16"/>
      <color indexed="10"/>
      <name val="Arial"/>
      <family val="2"/>
      <charset val="204"/>
    </font>
    <font>
      <b/>
      <sz val="15"/>
      <name val="Arial"/>
      <family val="2"/>
      <charset val="204"/>
    </font>
    <font>
      <b/>
      <vertAlign val="superscript"/>
      <sz val="20"/>
      <color indexed="10"/>
      <name val="Arial Cyr"/>
      <charset val="204"/>
    </font>
    <font>
      <vertAlign val="superscript"/>
      <sz val="16"/>
      <name val="Arial"/>
      <family val="2"/>
      <charset val="204"/>
    </font>
    <font>
      <sz val="16"/>
      <color indexed="63"/>
      <name val="Arial"/>
      <family val="2"/>
      <charset val="204"/>
    </font>
    <font>
      <b/>
      <sz val="16"/>
      <name val="Arial Cyr"/>
      <charset val="204"/>
    </font>
    <font>
      <b/>
      <sz val="16"/>
      <color indexed="63"/>
      <name val="Arial Cyr"/>
      <charset val="204"/>
    </font>
    <font>
      <b/>
      <i/>
      <sz val="16"/>
      <name val="Arial"/>
      <family val="2"/>
      <charset val="204"/>
    </font>
    <font>
      <b/>
      <vertAlign val="superscript"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Open Sans"/>
      <family val="2"/>
      <charset val="204"/>
    </font>
    <font>
      <sz val="11"/>
      <name val="Arial Cyr"/>
      <charset val="204"/>
    </font>
    <font>
      <sz val="16"/>
      <color indexed="8"/>
      <name val="Open Sans"/>
      <family val="2"/>
      <charset val="204"/>
    </font>
    <font>
      <b/>
      <sz val="16"/>
      <color indexed="9"/>
      <name val="Arial Cyr"/>
      <charset val="204"/>
    </font>
    <font>
      <b/>
      <u/>
      <sz val="16"/>
      <color indexed="9"/>
      <name val="Arial Cyr"/>
      <charset val="204"/>
    </font>
    <font>
      <sz val="14"/>
      <color indexed="8"/>
      <name val="Calibri"/>
      <family val="2"/>
      <charset val="204"/>
    </font>
    <font>
      <b/>
      <sz val="16"/>
      <color indexed="60"/>
      <name val="Arial"/>
      <family val="2"/>
      <charset val="204"/>
    </font>
    <font>
      <vertAlign val="superscript"/>
      <sz val="14"/>
      <name val="Arial"/>
      <family val="2"/>
      <charset val="204"/>
    </font>
    <font>
      <u/>
      <sz val="16"/>
      <color indexed="10"/>
      <name val="Arial"/>
      <family val="2"/>
      <charset val="204"/>
    </font>
    <font>
      <sz val="18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36"/>
      <color theme="1"/>
      <name val="Arial"/>
      <family val="2"/>
      <charset val="204"/>
    </font>
    <font>
      <sz val="16"/>
      <color theme="1" tint="0.14999847407452621"/>
      <name val="Arial"/>
      <family val="2"/>
      <charset val="204"/>
    </font>
    <font>
      <sz val="14"/>
      <color theme="1" tint="0.14999847407452621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20"/>
      <color theme="0"/>
      <name val="Arial"/>
      <family val="2"/>
      <charset val="204"/>
    </font>
    <font>
      <sz val="16"/>
      <color theme="0"/>
      <name val="Arial"/>
      <family val="2"/>
      <charset val="204"/>
    </font>
    <font>
      <b/>
      <sz val="16"/>
      <color theme="1" tint="4.9989318521683403E-2"/>
      <name val="Arial"/>
      <family val="2"/>
      <charset val="204"/>
    </font>
    <font>
      <sz val="16"/>
      <color theme="1" tint="4.9989318521683403E-2"/>
      <name val="Arial"/>
      <family val="2"/>
      <charset val="204"/>
    </font>
    <font>
      <b/>
      <sz val="16"/>
      <color rgb="FFFF0000"/>
      <name val="Arial Cyr"/>
      <charset val="204"/>
    </font>
    <font>
      <b/>
      <sz val="20"/>
      <color theme="1"/>
      <name val="Arial"/>
      <family val="2"/>
      <charset val="204"/>
    </font>
    <font>
      <b/>
      <sz val="20"/>
      <color theme="0"/>
      <name val="Arial Cyr"/>
      <charset val="204"/>
    </font>
    <font>
      <b/>
      <sz val="20"/>
      <color theme="0"/>
      <name val="Arial"/>
      <family val="2"/>
      <charset val="204"/>
    </font>
    <font>
      <b/>
      <sz val="15"/>
      <color theme="0"/>
      <name val="Arial"/>
      <family val="2"/>
      <charset val="204"/>
    </font>
    <font>
      <sz val="18"/>
      <color theme="0"/>
      <name val="Arial"/>
      <family val="2"/>
      <charset val="204"/>
    </font>
    <font>
      <b/>
      <sz val="24"/>
      <color theme="0"/>
      <name val="Arial"/>
      <family val="2"/>
      <charset val="204"/>
    </font>
    <font>
      <b/>
      <sz val="26"/>
      <color theme="0"/>
      <name val="Arial"/>
      <family val="2"/>
      <charset val="204"/>
    </font>
    <font>
      <sz val="16"/>
      <color theme="0"/>
      <name val="Arial Cyr"/>
      <charset val="204"/>
    </font>
    <font>
      <b/>
      <sz val="16"/>
      <color theme="0"/>
      <name val="Arial Cyr"/>
      <charset val="204"/>
    </font>
    <font>
      <b/>
      <vertAlign val="superscript"/>
      <sz val="18"/>
      <name val="Arial"/>
      <family val="2"/>
      <charset val="204"/>
    </font>
    <font>
      <sz val="20"/>
      <name val="Arial"/>
      <family val="2"/>
      <charset val="204"/>
    </font>
    <font>
      <vertAlign val="superscript"/>
      <sz val="18"/>
      <color theme="0"/>
      <name val="Arial"/>
      <family val="2"/>
      <charset val="204"/>
    </font>
    <font>
      <b/>
      <vertAlign val="superscript"/>
      <sz val="14"/>
      <name val="Arial Cyr"/>
      <charset val="204"/>
    </font>
    <font>
      <i/>
      <sz val="16"/>
      <name val="Arial Cyr"/>
      <charset val="204"/>
    </font>
    <font>
      <i/>
      <sz val="16"/>
      <color indexed="8"/>
      <name val="Arial"/>
      <family val="2"/>
      <charset val="204"/>
    </font>
    <font>
      <sz val="16"/>
      <color theme="1" tint="0.34998626667073579"/>
      <name val="Arial"/>
      <family val="2"/>
      <charset val="204"/>
    </font>
    <font>
      <sz val="16"/>
      <color theme="0" tint="-0.499984740745262"/>
      <name val="Arial"/>
      <family val="2"/>
      <charset val="204"/>
    </font>
    <font>
      <sz val="14"/>
      <color theme="1" tint="0.499984740745262"/>
      <name val="Arial"/>
      <family val="2"/>
      <charset val="204"/>
    </font>
    <font>
      <b/>
      <u/>
      <sz val="15"/>
      <name val="Arial"/>
      <family val="2"/>
      <charset val="204"/>
    </font>
    <font>
      <b/>
      <sz val="15"/>
      <color rgb="FFFF0000"/>
      <name val="Arial"/>
      <family val="2"/>
      <charset val="204"/>
    </font>
    <font>
      <sz val="16"/>
      <color theme="1" tint="0.249977111117893"/>
      <name val="Arial"/>
      <family val="2"/>
      <charset val="204"/>
    </font>
    <font>
      <b/>
      <sz val="15"/>
      <color theme="1" tint="0.249977111117893"/>
      <name val="Arial"/>
      <family val="2"/>
      <charset val="204"/>
    </font>
    <font>
      <b/>
      <u/>
      <sz val="15"/>
      <color theme="1" tint="0.249977111117893"/>
      <name val="Arial"/>
      <family val="2"/>
      <charset val="204"/>
    </font>
    <font>
      <vertAlign val="superscript"/>
      <sz val="12"/>
      <name val="Arial Cyr"/>
      <charset val="204"/>
    </font>
    <font>
      <b/>
      <sz val="14"/>
      <color theme="1" tint="0.249977111117893"/>
      <name val="Arial"/>
      <family val="2"/>
      <charset val="204"/>
    </font>
    <font>
      <sz val="18"/>
      <color indexed="8"/>
      <name val="Calibri"/>
      <family val="2"/>
      <charset val="204"/>
    </font>
    <font>
      <sz val="18"/>
      <color theme="0"/>
      <name val="Arial Cyr"/>
      <charset val="204"/>
    </font>
    <font>
      <b/>
      <sz val="18"/>
      <color theme="0"/>
      <name val="Arial Cyr"/>
      <charset val="204"/>
    </font>
    <font>
      <vertAlign val="superscript"/>
      <sz val="14"/>
      <name val="Arial Cyr"/>
      <charset val="204"/>
    </font>
    <font>
      <b/>
      <sz val="15"/>
      <color rgb="FFC00000"/>
      <name val="Arial"/>
      <family val="2"/>
      <charset val="204"/>
    </font>
    <font>
      <sz val="14"/>
      <color theme="1" tint="0.499984740745262"/>
      <name val="Arial Cyr"/>
      <charset val="204"/>
    </font>
    <font>
      <i/>
      <sz val="14"/>
      <name val="Arial Cyr"/>
      <charset val="204"/>
    </font>
    <font>
      <b/>
      <sz val="12"/>
      <color theme="1" tint="0.3499862666707357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vertAlign val="superscript"/>
      <sz val="14"/>
      <color rgb="FFFF0000"/>
      <name val="Arial"/>
      <family val="2"/>
      <charset val="204"/>
    </font>
    <font>
      <sz val="16"/>
      <color theme="1" tint="0.499984740745262"/>
      <name val="Arial"/>
      <family val="2"/>
      <charset val="204"/>
    </font>
    <font>
      <b/>
      <sz val="20"/>
      <color indexed="8"/>
      <name val="Arial"/>
      <family val="2"/>
      <charset val="204"/>
    </font>
    <font>
      <b/>
      <vertAlign val="superscript"/>
      <sz val="20"/>
      <color indexed="8"/>
      <name val="Arial"/>
      <family val="2"/>
      <charset val="204"/>
    </font>
    <font>
      <sz val="16"/>
      <name val="Calibri"/>
      <family val="2"/>
      <charset val="204"/>
    </font>
    <font>
      <b/>
      <sz val="20"/>
      <color rgb="FFFF0000"/>
      <name val="Arial"/>
      <family val="2"/>
      <charset val="204"/>
    </font>
    <font>
      <b/>
      <sz val="16"/>
      <color theme="1" tint="0.34998626667073579"/>
      <name val="Arial"/>
      <family val="2"/>
      <charset val="204"/>
    </font>
    <font>
      <b/>
      <sz val="16"/>
      <color theme="1" tint="0.249977111117893"/>
      <name val="Arial"/>
      <family val="2"/>
      <charset val="204"/>
    </font>
    <font>
      <i/>
      <sz val="14"/>
      <color indexed="8"/>
      <name val="Arial"/>
      <family val="2"/>
      <charset val="204"/>
    </font>
    <font>
      <i/>
      <sz val="14"/>
      <name val="Arial"/>
      <family val="2"/>
      <charset val="204"/>
    </font>
    <font>
      <b/>
      <sz val="14"/>
      <color theme="1" tint="0.14999847407452621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color theme="1" tint="0.249977111117893"/>
      <name val="Arial"/>
      <family val="2"/>
      <charset val="204"/>
    </font>
    <font>
      <i/>
      <u/>
      <sz val="14"/>
      <name val="Arial"/>
      <family val="2"/>
      <charset val="204"/>
    </font>
    <font>
      <b/>
      <sz val="12"/>
      <color theme="0"/>
      <name val="Arial"/>
      <family val="2"/>
      <charset val="204"/>
    </font>
    <font>
      <b/>
      <vertAlign val="superscript"/>
      <sz val="12"/>
      <color theme="0"/>
      <name val="Arial"/>
      <family val="2"/>
      <charset val="204"/>
    </font>
    <font>
      <sz val="16"/>
      <color rgb="FF000000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sz val="16"/>
      <color rgb="FFFFFF00"/>
      <name val="Arial"/>
      <family val="2"/>
      <charset val="204"/>
    </font>
    <font>
      <b/>
      <sz val="14"/>
      <color indexed="10"/>
      <name val="Arial Cyr"/>
      <charset val="204"/>
    </font>
    <font>
      <b/>
      <sz val="22"/>
      <name val="Arial"/>
      <family val="2"/>
      <charset val="204"/>
    </font>
    <font>
      <b/>
      <i/>
      <sz val="24"/>
      <name val="Arial Cyr"/>
      <charset val="204"/>
    </font>
    <font>
      <b/>
      <i/>
      <sz val="16"/>
      <color theme="1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i/>
      <sz val="10"/>
      <name val="Arial Cyr"/>
      <charset val="204"/>
    </font>
    <font>
      <i/>
      <sz val="16"/>
      <color theme="1"/>
      <name val="Arial"/>
      <family val="2"/>
      <charset val="204"/>
    </font>
    <font>
      <i/>
      <sz val="24"/>
      <name val="Arial Cyr"/>
      <charset val="204"/>
    </font>
    <font>
      <b/>
      <sz val="16"/>
      <color rgb="FF000000"/>
      <name val="Arial"/>
      <family val="2"/>
      <charset val="204"/>
    </font>
    <font>
      <i/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indexed="60"/>
      <name val="Arial"/>
      <family val="2"/>
      <charset val="204"/>
    </font>
    <font>
      <sz val="10"/>
      <color rgb="FFC0C0C0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rgb="FFC0000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color indexed="10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rgb="FFC0C0C0"/>
      <name val="Arial"/>
      <family val="2"/>
      <charset val="204"/>
    </font>
    <font>
      <b/>
      <sz val="10"/>
      <color rgb="FFFF0000"/>
      <name val="Arial"/>
      <family val="2"/>
      <charset val="204"/>
    </font>
    <font>
      <u/>
      <sz val="10"/>
      <color indexed="12"/>
      <name val="Open Sans"/>
      <family val="2"/>
      <charset val="204"/>
    </font>
    <font>
      <sz val="10"/>
      <color theme="1"/>
      <name val="Open Sans"/>
      <family val="2"/>
      <charset val="204"/>
    </font>
    <font>
      <sz val="10"/>
      <name val="Open Sans"/>
      <family val="2"/>
      <charset val="204"/>
    </font>
    <font>
      <sz val="10"/>
      <color rgb="FFFF0000"/>
      <name val="Open Sans"/>
      <family val="2"/>
      <charset val="204"/>
    </font>
    <font>
      <sz val="8"/>
      <color theme="1"/>
      <name val="Open Sans"/>
      <family val="2"/>
      <charset val="204"/>
    </font>
    <font>
      <b/>
      <sz val="10"/>
      <name val="Open Sans"/>
      <family val="2"/>
      <charset val="204"/>
    </font>
    <font>
      <b/>
      <sz val="10"/>
      <color theme="1"/>
      <name val="Open Sans"/>
      <family val="2"/>
      <charset val="204"/>
    </font>
    <font>
      <sz val="10"/>
      <color theme="0"/>
      <name val="Open Sans"/>
      <family val="2"/>
      <charset val="204"/>
    </font>
    <font>
      <i/>
      <sz val="10"/>
      <name val="Open Sans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8"/>
      <name val="Arial"/>
      <family val="2"/>
      <charset val="204"/>
    </font>
    <font>
      <b/>
      <sz val="14"/>
      <color indexed="8"/>
      <name val="Calibri"/>
      <family val="2"/>
      <charset val="204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34998626667073579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thin">
        <color theme="1" tint="0.499984740745262"/>
      </bottom>
      <diagonal/>
    </border>
    <border>
      <left/>
      <right style="thin">
        <color theme="1" tint="0.34998626667073579"/>
      </right>
      <top style="medium">
        <color theme="1" tint="0.249977111117893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medium">
        <color theme="1" tint="0.249977111117893"/>
      </top>
      <bottom style="thin">
        <color theme="1" tint="0.34998626667073579"/>
      </bottom>
      <diagonal/>
    </border>
    <border>
      <left/>
      <right/>
      <top style="medium">
        <color theme="1" tint="0.249977111117893"/>
      </top>
      <bottom style="thin">
        <color theme="1" tint="0.34998626667073579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medium">
        <color theme="1" tint="0.34998626667073579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theme="1" tint="0.249977111117893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medium">
        <color theme="1" tint="0.24994659260841701"/>
      </bottom>
      <diagonal/>
    </border>
    <border>
      <left/>
      <right/>
      <top style="thin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77111117893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theme="1" tint="0.24994659260841701"/>
      </bottom>
      <diagonal/>
    </border>
    <border>
      <left/>
      <right style="thin">
        <color theme="1" tint="0.34998626667073579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/>
      <top/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98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ill="0" applyBorder="0" applyAlignment="0" applyProtection="0"/>
    <xf numFmtId="167" fontId="6" fillId="0" borderId="0" applyFont="0" applyFill="0" applyBorder="0" applyAlignment="0" applyProtection="0"/>
    <xf numFmtId="0" fontId="3" fillId="0" borderId="0"/>
    <xf numFmtId="0" fontId="3" fillId="0" borderId="0"/>
    <xf numFmtId="2" fontId="9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0" fillId="13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1" fillId="38" borderId="2" applyNumberFormat="0" applyAlignment="0" applyProtection="0"/>
    <xf numFmtId="0" fontId="11" fillId="38" borderId="2" applyNumberFormat="0" applyAlignment="0" applyProtection="0"/>
    <xf numFmtId="0" fontId="11" fillId="39" borderId="2" applyNumberFormat="0" applyAlignment="0" applyProtection="0"/>
    <xf numFmtId="0" fontId="11" fillId="39" borderId="2" applyNumberFormat="0" applyAlignment="0" applyProtection="0"/>
    <xf numFmtId="0" fontId="11" fillId="38" borderId="2" applyNumberFormat="0" applyAlignment="0" applyProtection="0"/>
    <xf numFmtId="0" fontId="11" fillId="38" borderId="2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9" borderId="1" applyNumberFormat="0" applyAlignment="0" applyProtection="0"/>
    <xf numFmtId="0" fontId="12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0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72" fontId="6" fillId="0" borderId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3" fillId="0" borderId="0" applyNumberFormat="0" applyFill="0" applyBorder="0" applyProtection="0">
      <alignment horizontal="left"/>
    </xf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63" fillId="0" borderId="0" applyNumberFormat="0" applyFill="0" applyBorder="0" applyProtection="0">
      <alignment horizontal="left"/>
    </xf>
    <xf numFmtId="0" fontId="18" fillId="40" borderId="7" applyNumberFormat="0" applyAlignment="0" applyProtection="0"/>
    <xf numFmtId="0" fontId="18" fillId="40" borderId="7" applyNumberFormat="0" applyAlignment="0" applyProtection="0"/>
    <xf numFmtId="0" fontId="18" fillId="41" borderId="7" applyNumberFormat="0" applyAlignment="0" applyProtection="0"/>
    <xf numFmtId="0" fontId="18" fillId="41" borderId="7" applyNumberFormat="0" applyAlignment="0" applyProtection="0"/>
    <xf numFmtId="0" fontId="18" fillId="40" borderId="7" applyNumberFormat="0" applyAlignment="0" applyProtection="0"/>
    <xf numFmtId="0" fontId="18" fillId="40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3" fillId="0" borderId="0"/>
    <xf numFmtId="0" fontId="3" fillId="0" borderId="0"/>
    <xf numFmtId="0" fontId="105" fillId="0" borderId="0"/>
    <xf numFmtId="0" fontId="57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6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3" fillId="0" borderId="0"/>
    <xf numFmtId="0" fontId="57" fillId="0" borderId="0"/>
    <xf numFmtId="0" fontId="6" fillId="0" borderId="0"/>
    <xf numFmtId="0" fontId="57" fillId="0" borderId="0"/>
    <xf numFmtId="0" fontId="13" fillId="0" borderId="0"/>
    <xf numFmtId="0" fontId="13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3" fillId="0" borderId="0"/>
    <xf numFmtId="0" fontId="6" fillId="0" borderId="0"/>
    <xf numFmtId="0" fontId="63" fillId="0" borderId="0"/>
    <xf numFmtId="0" fontId="105" fillId="0" borderId="0"/>
    <xf numFmtId="0" fontId="13" fillId="0" borderId="0"/>
    <xf numFmtId="0" fontId="57" fillId="0" borderId="0"/>
    <xf numFmtId="0" fontId="57" fillId="0" borderId="0"/>
    <xf numFmtId="0" fontId="13" fillId="0" borderId="0"/>
    <xf numFmtId="0" fontId="3" fillId="0" borderId="0"/>
    <xf numFmtId="0" fontId="6" fillId="0" borderId="0"/>
    <xf numFmtId="0" fontId="105" fillId="0" borderId="0"/>
    <xf numFmtId="0" fontId="6" fillId="0" borderId="0"/>
    <xf numFmtId="0" fontId="3" fillId="0" borderId="0"/>
    <xf numFmtId="0" fontId="57" fillId="0" borderId="0"/>
    <xf numFmtId="0" fontId="10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39" fillId="0" borderId="0"/>
    <xf numFmtId="0" fontId="3" fillId="0" borderId="0"/>
    <xf numFmtId="0" fontId="13" fillId="0" borderId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6" fillId="45" borderId="8" applyNumberFormat="0" applyAlignment="0" applyProtection="0"/>
    <xf numFmtId="0" fontId="6" fillId="45" borderId="8" applyNumberForma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6" fillId="0" borderId="0" applyFill="0" applyBorder="0" applyAlignment="0" applyProtection="0"/>
    <xf numFmtId="173" fontId="6" fillId="0" borderId="0" applyFill="0" applyBorder="0" applyAlignment="0" applyProtection="0"/>
    <xf numFmtId="17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6" fillId="0" borderId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" fillId="0" borderId="0"/>
    <xf numFmtId="0" fontId="1" fillId="0" borderId="0"/>
    <xf numFmtId="0" fontId="1" fillId="0" borderId="0"/>
  </cellStyleXfs>
  <cellXfs count="2550">
    <xf numFmtId="0" fontId="0" fillId="0" borderId="0" xfId="0"/>
    <xf numFmtId="0" fontId="13" fillId="0" borderId="0" xfId="0" applyFont="1"/>
    <xf numFmtId="0" fontId="29" fillId="0" borderId="0" xfId="0" applyFont="1"/>
    <xf numFmtId="0" fontId="13" fillId="0" borderId="0" xfId="0" applyFont="1" applyAlignment="1">
      <alignment horizontal="center" vertical="center"/>
    </xf>
    <xf numFmtId="0" fontId="33" fillId="0" borderId="0" xfId="0" applyFont="1"/>
    <xf numFmtId="0" fontId="32" fillId="0" borderId="0" xfId="0" applyFont="1"/>
    <xf numFmtId="0" fontId="32" fillId="0" borderId="10" xfId="0" applyFont="1" applyBorder="1" applyAlignment="1" applyProtection="1">
      <alignment horizontal="center" vertical="center"/>
      <protection hidden="1"/>
    </xf>
    <xf numFmtId="0" fontId="32" fillId="46" borderId="10" xfId="0" applyFont="1" applyFill="1" applyBorder="1" applyAlignment="1" applyProtection="1">
      <alignment horizontal="center" vertical="center" wrapText="1"/>
      <protection hidden="1"/>
    </xf>
    <xf numFmtId="165" fontId="32" fillId="0" borderId="10" xfId="0" applyNumberFormat="1" applyFont="1" applyBorder="1" applyAlignment="1" applyProtection="1">
      <alignment horizontal="center" vertical="center"/>
      <protection hidden="1"/>
    </xf>
    <xf numFmtId="2" fontId="32" fillId="0" borderId="10" xfId="0" applyNumberFormat="1" applyFont="1" applyBorder="1" applyAlignment="1" applyProtection="1">
      <alignment horizontal="center" vertical="center"/>
      <protection hidden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0" xfId="341" applyFont="1" applyAlignment="1">
      <alignment vertical="center"/>
    </xf>
    <xf numFmtId="0" fontId="32" fillId="0" borderId="0" xfId="341" applyFont="1" applyAlignment="1">
      <alignment vertical="center" wrapText="1"/>
    </xf>
    <xf numFmtId="0" fontId="31" fillId="0" borderId="0" xfId="341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340" applyFont="1" applyAlignment="1" applyProtection="1">
      <alignment vertical="top"/>
      <protection hidden="1"/>
    </xf>
    <xf numFmtId="0" fontId="31" fillId="0" borderId="0" xfId="340" applyFont="1"/>
    <xf numFmtId="0" fontId="32" fillId="0" borderId="10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top"/>
      <protection hidden="1"/>
    </xf>
    <xf numFmtId="0" fontId="38" fillId="0" borderId="0" xfId="0" applyFont="1"/>
    <xf numFmtId="0" fontId="40" fillId="0" borderId="0" xfId="339" applyFont="1"/>
    <xf numFmtId="0" fontId="40" fillId="0" borderId="0" xfId="339" applyFont="1" applyAlignment="1">
      <alignment vertical="center"/>
    </xf>
    <xf numFmtId="0" fontId="41" fillId="0" borderId="0" xfId="339" applyFont="1"/>
    <xf numFmtId="0" fontId="46" fillId="0" borderId="0" xfId="0" applyFont="1"/>
    <xf numFmtId="0" fontId="46" fillId="0" borderId="0" xfId="0" applyFont="1" applyAlignment="1">
      <alignment vertical="center"/>
    </xf>
    <xf numFmtId="0" fontId="46" fillId="0" borderId="0" xfId="341" applyFont="1" applyAlignment="1">
      <alignment vertical="center"/>
    </xf>
    <xf numFmtId="0" fontId="3" fillId="0" borderId="0" xfId="318"/>
    <xf numFmtId="0" fontId="40" fillId="0" borderId="0" xfId="318" applyFont="1"/>
    <xf numFmtId="0" fontId="50" fillId="0" borderId="0" xfId="339" applyFont="1" applyAlignment="1">
      <alignment vertical="center"/>
    </xf>
    <xf numFmtId="0" fontId="50" fillId="0" borderId="0" xfId="318" applyFont="1"/>
    <xf numFmtId="0" fontId="37" fillId="0" borderId="0" xfId="340" applyFont="1" applyAlignment="1" applyProtection="1">
      <alignment vertical="top"/>
      <protection hidden="1"/>
    </xf>
    <xf numFmtId="0" fontId="31" fillId="0" borderId="0" xfId="318" applyFont="1" applyAlignment="1" applyProtection="1">
      <alignment horizontal="center" vertical="center" wrapText="1"/>
      <protection hidden="1"/>
    </xf>
    <xf numFmtId="166" fontId="32" fillId="0" borderId="0" xfId="318" applyNumberFormat="1" applyFont="1" applyAlignment="1" applyProtection="1">
      <alignment horizontal="center" vertical="center"/>
      <protection hidden="1"/>
    </xf>
    <xf numFmtId="0" fontId="32" fillId="0" borderId="0" xfId="318" applyFont="1" applyAlignment="1" applyProtection="1">
      <alignment horizontal="center" vertical="center"/>
      <protection hidden="1"/>
    </xf>
    <xf numFmtId="4" fontId="32" fillId="0" borderId="0" xfId="318" applyNumberFormat="1" applyFont="1" applyAlignment="1" applyProtection="1">
      <alignment horizontal="center" vertical="center"/>
      <protection hidden="1"/>
    </xf>
    <xf numFmtId="168" fontId="31" fillId="0" borderId="0" xfId="318" applyNumberFormat="1" applyFont="1" applyAlignment="1" applyProtection="1">
      <alignment horizontal="center" vertical="center" wrapText="1"/>
      <protection hidden="1"/>
    </xf>
    <xf numFmtId="0" fontId="51" fillId="0" borderId="0" xfId="318" applyFont="1"/>
    <xf numFmtId="0" fontId="31" fillId="0" borderId="0" xfId="0" applyFont="1" applyAlignment="1" applyProtection="1">
      <alignment vertical="center" wrapText="1"/>
      <protection hidden="1"/>
    </xf>
    <xf numFmtId="0" fontId="47" fillId="0" borderId="0" xfId="341" applyFont="1" applyAlignment="1">
      <alignment vertical="center" wrapText="1"/>
    </xf>
    <xf numFmtId="9" fontId="43" fillId="0" borderId="10" xfId="357" applyFont="1" applyBorder="1" applyAlignment="1">
      <alignment horizontal="center" vertical="center"/>
    </xf>
    <xf numFmtId="0" fontId="34" fillId="0" borderId="0" xfId="0" applyFont="1"/>
    <xf numFmtId="0" fontId="31" fillId="0" borderId="0" xfId="0" applyFont="1" applyAlignment="1" applyProtection="1">
      <alignment vertical="center"/>
      <protection hidden="1"/>
    </xf>
    <xf numFmtId="0" fontId="34" fillId="0" borderId="0" xfId="0" applyFont="1" applyAlignment="1">
      <alignment vertical="center" wrapText="1"/>
    </xf>
    <xf numFmtId="0" fontId="32" fillId="0" borderId="10" xfId="0" applyFont="1" applyBorder="1" applyAlignment="1" applyProtection="1">
      <alignment horizontal="center" vertical="center" wrapText="1"/>
      <protection hidden="1"/>
    </xf>
    <xf numFmtId="0" fontId="32" fillId="0" borderId="0" xfId="318" applyFont="1" applyAlignment="1" applyProtection="1">
      <alignment vertical="center" wrapText="1"/>
      <protection hidden="1"/>
    </xf>
    <xf numFmtId="0" fontId="31" fillId="0" borderId="0" xfId="314" applyFont="1" applyAlignment="1" applyProtection="1">
      <alignment vertical="center" textRotation="90" wrapText="1"/>
      <protection hidden="1"/>
    </xf>
    <xf numFmtId="3" fontId="32" fillId="0" borderId="0" xfId="318" applyNumberFormat="1" applyFont="1" applyAlignment="1" applyProtection="1">
      <alignment horizontal="center" vertical="center"/>
      <protection hidden="1"/>
    </xf>
    <xf numFmtId="0" fontId="32" fillId="0" borderId="10" xfId="0" applyFont="1" applyBorder="1" applyAlignment="1" applyProtection="1">
      <alignment vertical="center" wrapText="1"/>
      <protection hidden="1"/>
    </xf>
    <xf numFmtId="166" fontId="32" fillId="0" borderId="14" xfId="0" applyNumberFormat="1" applyFont="1" applyBorder="1" applyAlignment="1" applyProtection="1">
      <alignment horizontal="center" vertical="center"/>
      <protection hidden="1"/>
    </xf>
    <xf numFmtId="166" fontId="32" fillId="0" borderId="12" xfId="0" applyNumberFormat="1" applyFont="1" applyBorder="1" applyAlignment="1" applyProtection="1">
      <alignment horizontal="center" vertical="center"/>
      <protection hidden="1"/>
    </xf>
    <xf numFmtId="166" fontId="32" fillId="0" borderId="11" xfId="0" applyNumberFormat="1" applyFont="1" applyBorder="1" applyAlignment="1" applyProtection="1">
      <alignment horizontal="center" vertical="center"/>
      <protection hidden="1"/>
    </xf>
    <xf numFmtId="14" fontId="38" fillId="0" borderId="0" xfId="0" applyNumberFormat="1" applyFont="1" applyAlignment="1">
      <alignment horizontal="right"/>
    </xf>
    <xf numFmtId="3" fontId="32" fillId="0" borderId="0" xfId="0" applyNumberFormat="1" applyFont="1"/>
    <xf numFmtId="166" fontId="55" fillId="0" borderId="0" xfId="0" applyNumberFormat="1" applyFont="1"/>
    <xf numFmtId="4" fontId="32" fillId="0" borderId="11" xfId="0" applyNumberFormat="1" applyFont="1" applyBorder="1" applyAlignment="1" applyProtection="1">
      <alignment horizontal="center" vertical="center"/>
      <protection hidden="1"/>
    </xf>
    <xf numFmtId="4" fontId="32" fillId="0" borderId="14" xfId="0" applyNumberFormat="1" applyFont="1" applyBorder="1" applyAlignment="1" applyProtection="1">
      <alignment horizontal="center" vertical="center"/>
      <protection hidden="1"/>
    </xf>
    <xf numFmtId="4" fontId="32" fillId="0" borderId="12" xfId="0" applyNumberFormat="1" applyFont="1" applyBorder="1" applyAlignment="1" applyProtection="1">
      <alignment horizontal="center" vertical="center"/>
      <protection hidden="1"/>
    </xf>
    <xf numFmtId="3" fontId="58" fillId="0" borderId="10" xfId="0" applyNumberFormat="1" applyFont="1" applyBorder="1" applyAlignment="1" applyProtection="1">
      <alignment horizontal="center" vertical="center"/>
      <protection hidden="1"/>
    </xf>
    <xf numFmtId="166" fontId="32" fillId="0" borderId="15" xfId="0" applyNumberFormat="1" applyFont="1" applyBorder="1" applyAlignment="1" applyProtection="1">
      <alignment horizontal="center" vertical="center"/>
      <protection hidden="1"/>
    </xf>
    <xf numFmtId="4" fontId="32" fillId="0" borderId="15" xfId="0" applyNumberFormat="1" applyFont="1" applyBorder="1" applyAlignment="1" applyProtection="1">
      <alignment horizontal="center" vertical="center"/>
      <protection hidden="1"/>
    </xf>
    <xf numFmtId="2" fontId="32" fillId="0" borderId="10" xfId="0" applyNumberFormat="1" applyFont="1" applyBorder="1" applyAlignment="1" applyProtection="1">
      <alignment horizontal="center" vertical="center" wrapText="1"/>
      <protection hidden="1"/>
    </xf>
    <xf numFmtId="4" fontId="32" fillId="0" borderId="10" xfId="0" applyNumberFormat="1" applyFont="1" applyBorder="1" applyAlignment="1" applyProtection="1">
      <alignment horizontal="center" vertical="center"/>
      <protection hidden="1"/>
    </xf>
    <xf numFmtId="0" fontId="44" fillId="47" borderId="10" xfId="341" applyFont="1" applyFill="1" applyBorder="1" applyAlignment="1">
      <alignment horizontal="center" vertical="center" wrapText="1"/>
    </xf>
    <xf numFmtId="0" fontId="59" fillId="0" borderId="0" xfId="318" applyFont="1" applyAlignment="1">
      <alignment horizontal="right"/>
    </xf>
    <xf numFmtId="0" fontId="59" fillId="0" borderId="0" xfId="341" applyFont="1" applyAlignment="1">
      <alignment vertical="center"/>
    </xf>
    <xf numFmtId="0" fontId="31" fillId="0" borderId="0" xfId="0" applyFont="1" applyAlignment="1" applyProtection="1">
      <alignment horizontal="left" vertical="center" wrapText="1"/>
      <protection hidden="1"/>
    </xf>
    <xf numFmtId="3" fontId="32" fillId="0" borderId="10" xfId="0" applyNumberFormat="1" applyFont="1" applyBorder="1" applyAlignment="1" applyProtection="1">
      <alignment horizontal="center" vertical="center"/>
      <protection hidden="1"/>
    </xf>
    <xf numFmtId="166" fontId="32" fillId="0" borderId="16" xfId="0" applyNumberFormat="1" applyFont="1" applyBorder="1" applyAlignment="1" applyProtection="1">
      <alignment horizontal="center" vertical="center"/>
      <protection hidden="1"/>
    </xf>
    <xf numFmtId="0" fontId="13" fillId="0" borderId="0" xfId="288"/>
    <xf numFmtId="2" fontId="32" fillId="0" borderId="17" xfId="0" applyNumberFormat="1" applyFont="1" applyBorder="1" applyAlignment="1" applyProtection="1">
      <alignment horizontal="center" vertical="center" wrapText="1"/>
      <protection hidden="1"/>
    </xf>
    <xf numFmtId="2" fontId="32" fillId="0" borderId="12" xfId="0" applyNumberFormat="1" applyFont="1" applyBorder="1" applyAlignment="1" applyProtection="1">
      <alignment horizontal="center" vertical="center" wrapText="1"/>
      <protection hidden="1"/>
    </xf>
    <xf numFmtId="0" fontId="44" fillId="47" borderId="19" xfId="341" applyFont="1" applyFill="1" applyBorder="1" applyAlignment="1">
      <alignment horizontal="center" vertical="center" wrapText="1"/>
    </xf>
    <xf numFmtId="3" fontId="58" fillId="0" borderId="11" xfId="0" applyNumberFormat="1" applyFont="1" applyBorder="1" applyAlignment="1" applyProtection="1">
      <alignment horizontal="center" vertical="center"/>
      <protection hidden="1"/>
    </xf>
    <xf numFmtId="3" fontId="58" fillId="0" borderId="14" xfId="0" applyNumberFormat="1" applyFont="1" applyBorder="1" applyAlignment="1" applyProtection="1">
      <alignment horizontal="center" vertical="center"/>
      <protection hidden="1"/>
    </xf>
    <xf numFmtId="3" fontId="58" fillId="0" borderId="12" xfId="0" applyNumberFormat="1" applyFont="1" applyBorder="1" applyAlignment="1" applyProtection="1">
      <alignment horizontal="center" vertical="center"/>
      <protection hidden="1"/>
    </xf>
    <xf numFmtId="0" fontId="66" fillId="0" borderId="0" xfId="0" applyFont="1"/>
    <xf numFmtId="0" fontId="61" fillId="0" borderId="0" xfId="340" applyFont="1" applyProtection="1">
      <protection hidden="1"/>
    </xf>
    <xf numFmtId="0" fontId="59" fillId="0" borderId="0" xfId="0" applyFont="1"/>
    <xf numFmtId="0" fontId="60" fillId="0" borderId="0" xfId="0" applyFont="1" applyAlignment="1" applyProtection="1">
      <alignment vertical="center" wrapText="1"/>
      <protection hidden="1"/>
    </xf>
    <xf numFmtId="0" fontId="64" fillId="0" borderId="0" xfId="0" applyFont="1" applyAlignment="1">
      <alignment vertical="center" wrapText="1"/>
    </xf>
    <xf numFmtId="0" fontId="32" fillId="48" borderId="0" xfId="0" applyFont="1" applyFill="1"/>
    <xf numFmtId="1" fontId="32" fillId="48" borderId="0" xfId="0" applyNumberFormat="1" applyFont="1" applyFill="1"/>
    <xf numFmtId="0" fontId="32" fillId="0" borderId="18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>
      <alignment horizontal="center"/>
    </xf>
    <xf numFmtId="0" fontId="106" fillId="0" borderId="0" xfId="340" applyFont="1" applyAlignment="1" applyProtection="1">
      <alignment vertical="center" wrapText="1"/>
      <protection hidden="1"/>
    </xf>
    <xf numFmtId="0" fontId="37" fillId="0" borderId="0" xfId="340" applyFont="1" applyProtection="1">
      <protection hidden="1"/>
    </xf>
    <xf numFmtId="0" fontId="32" fillId="0" borderId="14" xfId="0" applyFont="1" applyBorder="1" applyAlignment="1" applyProtection="1">
      <alignment horizontal="center" vertical="center"/>
      <protection hidden="1"/>
    </xf>
    <xf numFmtId="0" fontId="32" fillId="0" borderId="16" xfId="0" applyFont="1" applyBorder="1" applyAlignment="1" applyProtection="1">
      <alignment horizontal="center" vertical="center"/>
      <protection hidden="1"/>
    </xf>
    <xf numFmtId="14" fontId="32" fillId="0" borderId="0" xfId="0" applyNumberFormat="1" applyFont="1" applyAlignment="1">
      <alignment horizontal="right"/>
    </xf>
    <xf numFmtId="0" fontId="32" fillId="0" borderId="15" xfId="0" applyFont="1" applyBorder="1" applyAlignment="1" applyProtection="1">
      <alignment horizontal="center" vertical="center" wrapText="1"/>
      <protection hidden="1"/>
    </xf>
    <xf numFmtId="0" fontId="31" fillId="0" borderId="0" xfId="0" applyFont="1" applyProtection="1">
      <protection hidden="1"/>
    </xf>
    <xf numFmtId="0" fontId="65" fillId="0" borderId="0" xfId="0" applyFont="1"/>
    <xf numFmtId="0" fontId="32" fillId="0" borderId="11" xfId="0" applyFont="1" applyBorder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2" fillId="0" borderId="16" xfId="0" applyFont="1" applyBorder="1" applyAlignment="1" applyProtection="1">
      <alignment horizontal="center" vertical="center" wrapText="1"/>
      <protection hidden="1"/>
    </xf>
    <xf numFmtId="0" fontId="65" fillId="0" borderId="10" xfId="0" applyFont="1" applyBorder="1" applyAlignment="1">
      <alignment horizontal="center"/>
    </xf>
    <xf numFmtId="1" fontId="32" fillId="0" borderId="14" xfId="0" applyNumberFormat="1" applyFont="1" applyBorder="1" applyAlignment="1" applyProtection="1">
      <alignment horizontal="center" vertical="center" wrapText="1"/>
      <protection hidden="1"/>
    </xf>
    <xf numFmtId="0" fontId="65" fillId="0" borderId="0" xfId="0" applyFont="1" applyAlignment="1">
      <alignment horizontal="center"/>
    </xf>
    <xf numFmtId="0" fontId="31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left" vertical="center" wrapText="1" indent="3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1" fontId="32" fillId="0" borderId="0" xfId="0" applyNumberFormat="1" applyFont="1" applyAlignment="1" applyProtection="1">
      <alignment horizontal="center" vertical="center" wrapText="1"/>
      <protection hidden="1"/>
    </xf>
    <xf numFmtId="3" fontId="35" fillId="0" borderId="0" xfId="0" applyNumberFormat="1" applyFont="1" applyAlignment="1" applyProtection="1">
      <alignment horizontal="center" vertical="center"/>
      <protection hidden="1"/>
    </xf>
    <xf numFmtId="0" fontId="31" fillId="51" borderId="10" xfId="0" applyFont="1" applyFill="1" applyBorder="1" applyAlignment="1" applyProtection="1">
      <alignment horizontal="center" vertical="center" wrapText="1"/>
      <protection hidden="1"/>
    </xf>
    <xf numFmtId="0" fontId="32" fillId="0" borderId="20" xfId="0" applyFont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0" fontId="68" fillId="52" borderId="0" xfId="0" applyFont="1" applyFill="1" applyAlignment="1" applyProtection="1">
      <alignment horizontal="center" vertical="center" wrapText="1"/>
      <protection hidden="1"/>
    </xf>
    <xf numFmtId="1" fontId="73" fillId="52" borderId="0" xfId="0" applyNumberFormat="1" applyFont="1" applyFill="1" applyAlignment="1" applyProtection="1">
      <alignment horizontal="center" vertical="center" wrapText="1"/>
      <protection hidden="1"/>
    </xf>
    <xf numFmtId="2" fontId="33" fillId="52" borderId="0" xfId="0" applyNumberFormat="1" applyFont="1" applyFill="1" applyAlignment="1">
      <alignment horizontal="center"/>
    </xf>
    <xf numFmtId="0" fontId="33" fillId="52" borderId="0" xfId="0" applyFont="1" applyFill="1" applyAlignment="1">
      <alignment horizontal="center"/>
    </xf>
    <xf numFmtId="4" fontId="32" fillId="0" borderId="16" xfId="0" applyNumberFormat="1" applyFont="1" applyBorder="1" applyAlignment="1" applyProtection="1">
      <alignment horizontal="center" vertical="center"/>
      <protection hidden="1"/>
    </xf>
    <xf numFmtId="3" fontId="58" fillId="0" borderId="16" xfId="0" applyNumberFormat="1" applyFont="1" applyBorder="1" applyAlignment="1" applyProtection="1">
      <alignment horizontal="center" vertical="center"/>
      <protection hidden="1"/>
    </xf>
    <xf numFmtId="4" fontId="32" fillId="0" borderId="20" xfId="0" applyNumberFormat="1" applyFont="1" applyBorder="1" applyAlignment="1" applyProtection="1">
      <alignment horizontal="center" vertical="center"/>
      <protection hidden="1"/>
    </xf>
    <xf numFmtId="2" fontId="32" fillId="0" borderId="17" xfId="0" applyNumberFormat="1" applyFont="1" applyBorder="1" applyAlignment="1" applyProtection="1">
      <alignment horizontal="center" vertical="center"/>
      <protection hidden="1"/>
    </xf>
    <xf numFmtId="0" fontId="32" fillId="0" borderId="17" xfId="0" applyFont="1" applyBorder="1" applyAlignment="1" applyProtection="1">
      <alignment horizontal="center" vertical="center" wrapText="1"/>
      <protection hidden="1"/>
    </xf>
    <xf numFmtId="0" fontId="32" fillId="0" borderId="18" xfId="0" applyFont="1" applyBorder="1" applyAlignment="1" applyProtection="1">
      <alignment horizontal="center" vertical="center"/>
      <protection hidden="1"/>
    </xf>
    <xf numFmtId="3" fontId="58" fillId="0" borderId="17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Alignment="1">
      <alignment horizontal="left" vertical="center" wrapText="1"/>
    </xf>
    <xf numFmtId="0" fontId="73" fillId="0" borderId="21" xfId="0" applyFont="1" applyBorder="1" applyAlignment="1" applyProtection="1">
      <alignment horizontal="center" vertical="center" wrapText="1"/>
      <protection hidden="1"/>
    </xf>
    <xf numFmtId="2" fontId="73" fillId="0" borderId="21" xfId="0" applyNumberFormat="1" applyFont="1" applyBorder="1" applyAlignment="1" applyProtection="1">
      <alignment horizontal="center" vertical="center" wrapText="1"/>
      <protection hidden="1"/>
    </xf>
    <xf numFmtId="0" fontId="73" fillId="0" borderId="11" xfId="0" applyFont="1" applyBorder="1" applyAlignment="1" applyProtection="1">
      <alignment horizontal="center" vertical="center"/>
      <protection hidden="1"/>
    </xf>
    <xf numFmtId="0" fontId="73" fillId="0" borderId="16" xfId="0" applyFont="1" applyBorder="1" applyAlignment="1" applyProtection="1">
      <alignment horizontal="center" vertical="center"/>
      <protection hidden="1"/>
    </xf>
    <xf numFmtId="0" fontId="73" fillId="0" borderId="14" xfId="0" applyFont="1" applyBorder="1" applyAlignment="1" applyProtection="1">
      <alignment horizontal="center" vertical="center"/>
      <protection hidden="1"/>
    </xf>
    <xf numFmtId="0" fontId="73" fillId="0" borderId="12" xfId="0" applyFont="1" applyBorder="1" applyAlignment="1" applyProtection="1">
      <alignment horizontal="center" vertical="center"/>
      <protection hidden="1"/>
    </xf>
    <xf numFmtId="0" fontId="73" fillId="0" borderId="20" xfId="0" applyFont="1" applyBorder="1" applyAlignment="1" applyProtection="1">
      <alignment horizontal="center" vertical="center"/>
      <protection hidden="1"/>
    </xf>
    <xf numFmtId="166" fontId="32" fillId="0" borderId="20" xfId="0" applyNumberFormat="1" applyFont="1" applyBorder="1" applyAlignment="1" applyProtection="1">
      <alignment horizontal="center" vertical="center"/>
      <protection hidden="1"/>
    </xf>
    <xf numFmtId="0" fontId="31" fillId="0" borderId="21" xfId="0" applyFont="1" applyBorder="1" applyAlignment="1" applyProtection="1">
      <alignment vertical="center" wrapText="1"/>
      <protection hidden="1"/>
    </xf>
    <xf numFmtId="0" fontId="31" fillId="0" borderId="22" xfId="0" applyFont="1" applyBorder="1" applyAlignment="1" applyProtection="1">
      <alignment vertical="center"/>
      <protection hidden="1"/>
    </xf>
    <xf numFmtId="0" fontId="31" fillId="0" borderId="23" xfId="0" applyFont="1" applyBorder="1" applyAlignment="1" applyProtection="1">
      <alignment vertical="center"/>
      <protection hidden="1"/>
    </xf>
    <xf numFmtId="0" fontId="31" fillId="0" borderId="24" xfId="0" applyFont="1" applyBorder="1" applyAlignment="1" applyProtection="1">
      <alignment vertical="center"/>
      <protection hidden="1"/>
    </xf>
    <xf numFmtId="2" fontId="32" fillId="0" borderId="13" xfId="0" applyNumberFormat="1" applyFont="1" applyBorder="1" applyAlignment="1" applyProtection="1">
      <alignment vertical="center" wrapText="1"/>
      <protection hidden="1"/>
    </xf>
    <xf numFmtId="2" fontId="32" fillId="0" borderId="19" xfId="0" applyNumberFormat="1" applyFont="1" applyBorder="1" applyAlignment="1" applyProtection="1">
      <alignment vertical="center" wrapText="1"/>
      <protection hidden="1"/>
    </xf>
    <xf numFmtId="2" fontId="32" fillId="0" borderId="11" xfId="0" applyNumberFormat="1" applyFont="1" applyBorder="1" applyAlignment="1" applyProtection="1">
      <alignment horizontal="center" vertical="center" wrapText="1"/>
      <protection hidden="1"/>
    </xf>
    <xf numFmtId="0" fontId="37" fillId="0" borderId="25" xfId="340" applyFont="1" applyBorder="1" applyAlignment="1" applyProtection="1">
      <alignment vertical="center"/>
      <protection hidden="1"/>
    </xf>
    <xf numFmtId="0" fontId="28" fillId="0" borderId="0" xfId="318" applyFont="1" applyAlignment="1" applyProtection="1">
      <alignment horizontal="left" vertical="top"/>
      <protection hidden="1"/>
    </xf>
    <xf numFmtId="0" fontId="37" fillId="0" borderId="25" xfId="340" applyFont="1" applyBorder="1" applyAlignment="1" applyProtection="1">
      <alignment vertical="top"/>
      <protection hidden="1"/>
    </xf>
    <xf numFmtId="14" fontId="32" fillId="0" borderId="25" xfId="0" applyNumberFormat="1" applyFont="1" applyBorder="1" applyAlignment="1">
      <alignment horizontal="right"/>
    </xf>
    <xf numFmtId="166" fontId="32" fillId="0" borderId="14" xfId="318" applyNumberFormat="1" applyFont="1" applyBorder="1" applyAlignment="1" applyProtection="1">
      <alignment horizontal="center" vertical="center"/>
      <protection hidden="1"/>
    </xf>
    <xf numFmtId="4" fontId="32" fillId="0" borderId="14" xfId="318" applyNumberFormat="1" applyFont="1" applyBorder="1" applyAlignment="1" applyProtection="1">
      <alignment horizontal="center" vertical="center"/>
      <protection hidden="1"/>
    </xf>
    <xf numFmtId="166" fontId="32" fillId="0" borderId="12" xfId="318" applyNumberFormat="1" applyFont="1" applyBorder="1" applyAlignment="1" applyProtection="1">
      <alignment horizontal="center" vertical="center"/>
      <protection hidden="1"/>
    </xf>
    <xf numFmtId="4" fontId="32" fillId="0" borderId="12" xfId="318" applyNumberFormat="1" applyFont="1" applyBorder="1" applyAlignment="1" applyProtection="1">
      <alignment horizontal="center" vertical="center"/>
      <protection hidden="1"/>
    </xf>
    <xf numFmtId="0" fontId="32" fillId="0" borderId="10" xfId="318" applyFont="1" applyBorder="1" applyAlignment="1" applyProtection="1">
      <alignment horizontal="center" vertical="center"/>
      <protection hidden="1"/>
    </xf>
    <xf numFmtId="4" fontId="32" fillId="0" borderId="10" xfId="318" applyNumberFormat="1" applyFont="1" applyBorder="1" applyAlignment="1" applyProtection="1">
      <alignment horizontal="center" vertical="center"/>
      <protection hidden="1"/>
    </xf>
    <xf numFmtId="0" fontId="32" fillId="0" borderId="10" xfId="318" applyFont="1" applyBorder="1" applyAlignment="1" applyProtection="1">
      <alignment vertical="center" wrapText="1"/>
      <protection hidden="1"/>
    </xf>
    <xf numFmtId="0" fontId="31" fillId="49" borderId="10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0" xfId="0" applyFont="1" applyAlignment="1" applyProtection="1">
      <alignment vertical="center"/>
      <protection hidden="1"/>
    </xf>
    <xf numFmtId="0" fontId="37" fillId="0" borderId="0" xfId="0" applyFont="1"/>
    <xf numFmtId="0" fontId="32" fillId="0" borderId="0" xfId="0" applyFont="1" applyAlignment="1">
      <alignment horizontal="right"/>
    </xf>
    <xf numFmtId="0" fontId="31" fillId="0" borderId="0" xfId="0" applyFont="1" applyAlignment="1">
      <alignment horizontal="center" vertical="center"/>
    </xf>
    <xf numFmtId="14" fontId="32" fillId="0" borderId="25" xfId="0" applyNumberFormat="1" applyFont="1" applyBorder="1" applyAlignment="1" applyProtection="1">
      <alignment horizontal="right"/>
      <protection hidden="1"/>
    </xf>
    <xf numFmtId="166" fontId="32" fillId="54" borderId="14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/>
    <xf numFmtId="0" fontId="31" fillId="0" borderId="0" xfId="0" applyFont="1" applyAlignment="1" applyProtection="1">
      <alignment vertical="top" wrapText="1"/>
      <protection hidden="1"/>
    </xf>
    <xf numFmtId="0" fontId="32" fillId="0" borderId="0" xfId="0" applyFont="1" applyAlignment="1" applyProtection="1">
      <alignment vertical="top"/>
      <protection hidden="1"/>
    </xf>
    <xf numFmtId="0" fontId="31" fillId="46" borderId="0" xfId="0" applyFont="1" applyFill="1" applyAlignment="1" applyProtection="1">
      <alignment vertical="center" wrapText="1"/>
      <protection hidden="1"/>
    </xf>
    <xf numFmtId="0" fontId="32" fillId="0" borderId="0" xfId="0" applyFont="1" applyAlignment="1" applyProtection="1">
      <alignment vertical="center" wrapText="1"/>
      <protection hidden="1"/>
    </xf>
    <xf numFmtId="2" fontId="32" fillId="0" borderId="0" xfId="0" applyNumberFormat="1" applyFont="1" applyAlignment="1" applyProtection="1">
      <alignment vertical="center"/>
      <protection hidden="1"/>
    </xf>
    <xf numFmtId="3" fontId="54" fillId="0" borderId="0" xfId="0" applyNumberFormat="1" applyFont="1" applyAlignment="1" applyProtection="1">
      <alignment vertical="center"/>
      <protection hidden="1"/>
    </xf>
    <xf numFmtId="1" fontId="32" fillId="0" borderId="11" xfId="0" applyNumberFormat="1" applyFont="1" applyBorder="1" applyAlignment="1" applyProtection="1">
      <alignment horizontal="center" vertical="center" wrapText="1"/>
      <protection hidden="1"/>
    </xf>
    <xf numFmtId="1" fontId="32" fillId="0" borderId="16" xfId="0" applyNumberFormat="1" applyFont="1" applyBorder="1" applyAlignment="1" applyProtection="1">
      <alignment horizontal="center" vertical="center" wrapText="1"/>
      <protection hidden="1"/>
    </xf>
    <xf numFmtId="0" fontId="32" fillId="0" borderId="11" xfId="0" applyFont="1" applyBorder="1" applyAlignment="1" applyProtection="1">
      <alignment horizontal="center" vertical="center"/>
      <protection hidden="1"/>
    </xf>
    <xf numFmtId="0" fontId="107" fillId="0" borderId="14" xfId="0" applyFont="1" applyBorder="1" applyAlignment="1" applyProtection="1">
      <alignment horizontal="center" vertical="center"/>
      <protection hidden="1"/>
    </xf>
    <xf numFmtId="0" fontId="108" fillId="0" borderId="16" xfId="0" applyFont="1" applyBorder="1" applyAlignment="1" applyProtection="1">
      <alignment horizontal="center" vertical="center"/>
      <protection hidden="1"/>
    </xf>
    <xf numFmtId="2" fontId="107" fillId="0" borderId="11" xfId="0" applyNumberFormat="1" applyFont="1" applyBorder="1" applyAlignment="1" applyProtection="1">
      <alignment horizontal="center" vertical="center"/>
      <protection hidden="1"/>
    </xf>
    <xf numFmtId="1" fontId="107" fillId="0" borderId="11" xfId="0" applyNumberFormat="1" applyFont="1" applyBorder="1" applyAlignment="1" applyProtection="1">
      <alignment horizontal="center" vertical="center"/>
      <protection hidden="1"/>
    </xf>
    <xf numFmtId="0" fontId="108" fillId="0" borderId="14" xfId="0" applyFont="1" applyBorder="1" applyAlignment="1" applyProtection="1">
      <alignment horizontal="center" vertical="center"/>
      <protection hidden="1"/>
    </xf>
    <xf numFmtId="2" fontId="107" fillId="0" borderId="14" xfId="0" applyNumberFormat="1" applyFont="1" applyBorder="1" applyAlignment="1" applyProtection="1">
      <alignment horizontal="center" vertical="center"/>
      <protection hidden="1"/>
    </xf>
    <xf numFmtId="1" fontId="107" fillId="0" borderId="14" xfId="0" applyNumberFormat="1" applyFont="1" applyBorder="1" applyAlignment="1" applyProtection="1">
      <alignment horizontal="center" vertical="center"/>
      <protection hidden="1"/>
    </xf>
    <xf numFmtId="0" fontId="107" fillId="54" borderId="14" xfId="0" applyFont="1" applyFill="1" applyBorder="1" applyAlignment="1" applyProtection="1">
      <alignment horizontal="center" vertical="center"/>
      <protection hidden="1"/>
    </xf>
    <xf numFmtId="0" fontId="108" fillId="54" borderId="14" xfId="0" applyFont="1" applyFill="1" applyBorder="1" applyAlignment="1" applyProtection="1">
      <alignment horizontal="center" vertical="center"/>
      <protection hidden="1"/>
    </xf>
    <xf numFmtId="2" fontId="107" fillId="54" borderId="14" xfId="0" applyNumberFormat="1" applyFont="1" applyFill="1" applyBorder="1" applyAlignment="1" applyProtection="1">
      <alignment horizontal="center" vertical="center"/>
      <protection hidden="1"/>
    </xf>
    <xf numFmtId="1" fontId="107" fillId="54" borderId="14" xfId="0" applyNumberFormat="1" applyFont="1" applyFill="1" applyBorder="1" applyAlignment="1" applyProtection="1">
      <alignment horizontal="center" vertical="center"/>
      <protection hidden="1"/>
    </xf>
    <xf numFmtId="1" fontId="108" fillId="0" borderId="14" xfId="0" applyNumberFormat="1" applyFont="1" applyBorder="1" applyAlignment="1" applyProtection="1">
      <alignment horizontal="center" vertical="center"/>
      <protection hidden="1"/>
    </xf>
    <xf numFmtId="0" fontId="107" fillId="0" borderId="11" xfId="0" applyFont="1" applyBorder="1" applyAlignment="1" applyProtection="1">
      <alignment horizontal="center" vertical="center"/>
      <protection hidden="1"/>
    </xf>
    <xf numFmtId="0" fontId="108" fillId="0" borderId="11" xfId="0" applyFont="1" applyBorder="1" applyAlignment="1" applyProtection="1">
      <alignment horizontal="center" vertical="center"/>
      <protection hidden="1"/>
    </xf>
    <xf numFmtId="0" fontId="107" fillId="0" borderId="16" xfId="0" applyFont="1" applyBorder="1" applyAlignment="1" applyProtection="1">
      <alignment horizontal="center" vertical="center"/>
      <protection hidden="1"/>
    </xf>
    <xf numFmtId="2" fontId="107" fillId="0" borderId="16" xfId="0" applyNumberFormat="1" applyFont="1" applyBorder="1" applyAlignment="1" applyProtection="1">
      <alignment horizontal="center" vertical="center"/>
      <protection hidden="1"/>
    </xf>
    <xf numFmtId="1" fontId="107" fillId="0" borderId="16" xfId="0" applyNumberFormat="1" applyFont="1" applyBorder="1" applyAlignment="1" applyProtection="1">
      <alignment horizontal="center" vertical="center"/>
      <protection hidden="1"/>
    </xf>
    <xf numFmtId="0" fontId="107" fillId="0" borderId="12" xfId="0" applyFont="1" applyBorder="1" applyAlignment="1" applyProtection="1">
      <alignment horizontal="center" vertical="center"/>
      <protection hidden="1"/>
    </xf>
    <xf numFmtId="0" fontId="108" fillId="0" borderId="12" xfId="0" applyFont="1" applyBorder="1" applyAlignment="1" applyProtection="1">
      <alignment horizontal="center" vertical="center"/>
      <protection hidden="1"/>
    </xf>
    <xf numFmtId="2" fontId="107" fillId="0" borderId="12" xfId="0" applyNumberFormat="1" applyFont="1" applyBorder="1" applyAlignment="1" applyProtection="1">
      <alignment horizontal="center" vertical="center"/>
      <protection hidden="1"/>
    </xf>
    <xf numFmtId="1" fontId="107" fillId="0" borderId="12" xfId="0" applyNumberFormat="1" applyFont="1" applyBorder="1" applyAlignment="1" applyProtection="1">
      <alignment horizontal="center" vertical="center"/>
      <protection hidden="1"/>
    </xf>
    <xf numFmtId="1" fontId="108" fillId="0" borderId="11" xfId="0" applyNumberFormat="1" applyFont="1" applyBorder="1" applyAlignment="1" applyProtection="1">
      <alignment horizontal="center" vertical="center"/>
      <protection hidden="1"/>
    </xf>
    <xf numFmtId="1" fontId="108" fillId="0" borderId="16" xfId="0" applyNumberFormat="1" applyFont="1" applyBorder="1" applyAlignment="1" applyProtection="1">
      <alignment horizontal="center" vertical="center"/>
      <protection hidden="1"/>
    </xf>
    <xf numFmtId="1" fontId="107" fillId="0" borderId="20" xfId="0" applyNumberFormat="1" applyFont="1" applyBorder="1" applyAlignment="1" applyProtection="1">
      <alignment horizontal="center" vertical="center"/>
      <protection hidden="1"/>
    </xf>
    <xf numFmtId="1" fontId="108" fillId="0" borderId="20" xfId="0" applyNumberFormat="1" applyFont="1" applyBorder="1" applyAlignment="1" applyProtection="1">
      <alignment horizontal="center" vertical="center"/>
      <protection hidden="1"/>
    </xf>
    <xf numFmtId="1" fontId="107" fillId="0" borderId="18" xfId="0" applyNumberFormat="1" applyFont="1" applyBorder="1" applyAlignment="1" applyProtection="1">
      <alignment horizontal="center" vertical="center"/>
      <protection hidden="1"/>
    </xf>
    <xf numFmtId="1" fontId="108" fillId="0" borderId="18" xfId="0" applyNumberFormat="1" applyFont="1" applyBorder="1" applyAlignment="1" applyProtection="1">
      <alignment horizontal="center" vertical="center"/>
      <protection hidden="1"/>
    </xf>
    <xf numFmtId="2" fontId="107" fillId="0" borderId="18" xfId="0" applyNumberFormat="1" applyFont="1" applyBorder="1" applyAlignment="1" applyProtection="1">
      <alignment horizontal="center" vertical="center"/>
      <protection hidden="1"/>
    </xf>
    <xf numFmtId="1" fontId="108" fillId="0" borderId="12" xfId="0" applyNumberFormat="1" applyFont="1" applyBorder="1" applyAlignment="1" applyProtection="1">
      <alignment horizontal="center" vertical="center"/>
      <protection hidden="1"/>
    </xf>
    <xf numFmtId="0" fontId="34" fillId="50" borderId="17" xfId="339" applyFont="1" applyFill="1" applyBorder="1" applyAlignment="1">
      <alignment horizontal="center" wrapText="1"/>
    </xf>
    <xf numFmtId="0" fontId="31" fillId="0" borderId="10" xfId="339" applyFont="1" applyBorder="1" applyAlignment="1">
      <alignment horizontal="center" vertical="center" wrapText="1"/>
    </xf>
    <xf numFmtId="2" fontId="31" fillId="0" borderId="26" xfId="166" applyNumberFormat="1" applyFont="1" applyBorder="1" applyAlignment="1">
      <alignment horizontal="center" vertical="center" wrapText="1"/>
    </xf>
    <xf numFmtId="0" fontId="31" fillId="0" borderId="26" xfId="339" applyFont="1" applyBorder="1" applyAlignment="1">
      <alignment horizontal="center" vertical="center" wrapText="1"/>
    </xf>
    <xf numFmtId="0" fontId="35" fillId="0" borderId="18" xfId="339" applyFont="1" applyBorder="1" applyAlignment="1">
      <alignment horizontal="left" vertical="center" wrapText="1"/>
    </xf>
    <xf numFmtId="0" fontId="32" fillId="0" borderId="18" xfId="339" applyFont="1" applyBorder="1" applyAlignment="1">
      <alignment vertical="center" wrapText="1"/>
    </xf>
    <xf numFmtId="0" fontId="35" fillId="0" borderId="10" xfId="339" applyFont="1" applyBorder="1" applyAlignment="1">
      <alignment horizontal="left" vertical="center" wrapText="1"/>
    </xf>
    <xf numFmtId="0" fontId="32" fillId="0" borderId="10" xfId="339" applyFont="1" applyBorder="1" applyAlignment="1">
      <alignment vertical="center" wrapText="1"/>
    </xf>
    <xf numFmtId="2" fontId="31" fillId="0" borderId="11" xfId="166" applyNumberFormat="1" applyFont="1" applyBorder="1" applyAlignment="1">
      <alignment horizontal="center" vertical="center" wrapText="1"/>
    </xf>
    <xf numFmtId="0" fontId="32" fillId="0" borderId="11" xfId="339" applyFont="1" applyBorder="1" applyAlignment="1">
      <alignment horizontal="center" vertical="center" wrapText="1"/>
    </xf>
    <xf numFmtId="49" fontId="32" fillId="0" borderId="11" xfId="339" applyNumberFormat="1" applyFont="1" applyBorder="1" applyAlignment="1">
      <alignment horizontal="center" vertical="center" wrapText="1"/>
    </xf>
    <xf numFmtId="0" fontId="32" fillId="0" borderId="10" xfId="339" applyFont="1" applyBorder="1" applyAlignment="1">
      <alignment horizontal="center" vertical="center" wrapText="1"/>
    </xf>
    <xf numFmtId="0" fontId="35" fillId="0" borderId="0" xfId="339" applyFont="1" applyAlignment="1">
      <alignment vertical="center"/>
    </xf>
    <xf numFmtId="0" fontId="37" fillId="0" borderId="0" xfId="339" applyFont="1"/>
    <xf numFmtId="0" fontId="32" fillId="0" borderId="17" xfId="339" applyFont="1" applyBorder="1" applyAlignment="1">
      <alignment wrapText="1"/>
    </xf>
    <xf numFmtId="4" fontId="32" fillId="0" borderId="27" xfId="339" applyNumberFormat="1" applyFont="1" applyBorder="1" applyAlignment="1">
      <alignment vertical="center" wrapText="1"/>
    </xf>
    <xf numFmtId="0" fontId="32" fillId="0" borderId="26" xfId="339" applyFont="1" applyBorder="1" applyAlignment="1">
      <alignment horizontal="center" vertical="center" wrapText="1"/>
    </xf>
    <xf numFmtId="0" fontId="35" fillId="0" borderId="15" xfId="339" applyFont="1" applyBorder="1" applyAlignment="1">
      <alignment horizontal="center" vertical="center" wrapText="1"/>
    </xf>
    <xf numFmtId="0" fontId="32" fillId="0" borderId="15" xfId="339" applyFont="1" applyBorder="1" applyAlignment="1">
      <alignment horizontal="center" wrapText="1"/>
    </xf>
    <xf numFmtId="0" fontId="35" fillId="0" borderId="0" xfId="339" applyFont="1" applyAlignment="1">
      <alignment horizontal="left" wrapText="1"/>
    </xf>
    <xf numFmtId="4" fontId="32" fillId="0" borderId="29" xfId="339" applyNumberFormat="1" applyFont="1" applyBorder="1" applyAlignment="1">
      <alignment horizontal="center" vertical="center" wrapText="1"/>
    </xf>
    <xf numFmtId="4" fontId="32" fillId="0" borderId="30" xfId="339" applyNumberFormat="1" applyFont="1" applyBorder="1" applyAlignment="1">
      <alignment horizontal="center" vertical="center" wrapText="1"/>
    </xf>
    <xf numFmtId="0" fontId="35" fillId="0" borderId="0" xfId="339" applyFont="1" applyAlignment="1">
      <alignment horizontal="left"/>
    </xf>
    <xf numFmtId="0" fontId="31" fillId="55" borderId="18" xfId="318" applyFont="1" applyFill="1" applyBorder="1" applyAlignment="1" applyProtection="1">
      <alignment horizontal="center" vertical="center" wrapText="1"/>
      <protection hidden="1"/>
    </xf>
    <xf numFmtId="0" fontId="31" fillId="55" borderId="10" xfId="318" applyFont="1" applyFill="1" applyBorder="1" applyAlignment="1" applyProtection="1">
      <alignment horizontal="center" vertical="center" wrapText="1"/>
      <protection hidden="1"/>
    </xf>
    <xf numFmtId="0" fontId="31" fillId="55" borderId="10" xfId="0" applyFont="1" applyFill="1" applyBorder="1" applyAlignment="1" applyProtection="1">
      <alignment horizontal="center" vertical="center" wrapText="1"/>
      <protection hidden="1"/>
    </xf>
    <xf numFmtId="0" fontId="31" fillId="55" borderId="21" xfId="0" applyFont="1" applyFill="1" applyBorder="1" applyAlignment="1" applyProtection="1">
      <alignment vertical="center" wrapText="1"/>
      <protection hidden="1"/>
    </xf>
    <xf numFmtId="3" fontId="31" fillId="55" borderId="10" xfId="0" applyNumberFormat="1" applyFont="1" applyFill="1" applyBorder="1" applyAlignment="1" applyProtection="1">
      <alignment horizontal="center" vertical="center" wrapText="1"/>
      <protection hidden="1"/>
    </xf>
    <xf numFmtId="0" fontId="68" fillId="55" borderId="10" xfId="0" applyFont="1" applyFill="1" applyBorder="1" applyAlignment="1" applyProtection="1">
      <alignment horizontal="center" vertical="center" wrapText="1"/>
      <protection hidden="1"/>
    </xf>
    <xf numFmtId="0" fontId="31" fillId="56" borderId="10" xfId="0" applyFont="1" applyFill="1" applyBorder="1" applyAlignment="1" applyProtection="1">
      <alignment horizontal="center" vertical="center" wrapText="1"/>
      <protection hidden="1"/>
    </xf>
    <xf numFmtId="3" fontId="31" fillId="56" borderId="10" xfId="0" applyNumberFormat="1" applyFont="1" applyFill="1" applyBorder="1" applyAlignment="1" applyProtection="1">
      <alignment horizontal="center" vertical="center" wrapText="1"/>
      <protection hidden="1"/>
    </xf>
    <xf numFmtId="0" fontId="59" fillId="53" borderId="32" xfId="0" applyFont="1" applyFill="1" applyBorder="1"/>
    <xf numFmtId="4" fontId="32" fillId="0" borderId="24" xfId="339" applyNumberFormat="1" applyFont="1" applyBorder="1" applyAlignment="1">
      <alignment horizontal="center" vertical="center" wrapText="1"/>
    </xf>
    <xf numFmtId="4" fontId="32" fillId="0" borderId="23" xfId="339" applyNumberFormat="1" applyFont="1" applyBorder="1" applyAlignment="1">
      <alignment horizontal="center" vertical="center" wrapText="1"/>
    </xf>
    <xf numFmtId="4" fontId="32" fillId="0" borderId="22" xfId="339" applyNumberFormat="1" applyFont="1" applyBorder="1" applyAlignment="1">
      <alignment horizontal="center" vertical="center" wrapText="1"/>
    </xf>
    <xf numFmtId="4" fontId="32" fillId="0" borderId="11" xfId="339" applyNumberFormat="1" applyFont="1" applyBorder="1" applyAlignment="1">
      <alignment horizontal="center" vertical="center" wrapText="1"/>
    </xf>
    <xf numFmtId="4" fontId="32" fillId="0" borderId="14" xfId="339" applyNumberFormat="1" applyFont="1" applyBorder="1" applyAlignment="1">
      <alignment horizontal="center" vertical="center" wrapText="1"/>
    </xf>
    <xf numFmtId="4" fontId="32" fillId="0" borderId="12" xfId="339" applyNumberFormat="1" applyFont="1" applyBorder="1" applyAlignment="1">
      <alignment horizontal="center" vertical="center" wrapText="1"/>
    </xf>
    <xf numFmtId="4" fontId="32" fillId="0" borderId="33" xfId="339" applyNumberFormat="1" applyFont="1" applyBorder="1" applyAlignment="1">
      <alignment horizontal="center" vertical="center" wrapText="1"/>
    </xf>
    <xf numFmtId="0" fontId="32" fillId="0" borderId="34" xfId="339" applyFont="1" applyBorder="1" applyAlignment="1">
      <alignment horizontal="center" vertical="center" wrapText="1"/>
    </xf>
    <xf numFmtId="2" fontId="31" fillId="0" borderId="16" xfId="166" applyNumberFormat="1" applyFont="1" applyBorder="1" applyAlignment="1">
      <alignment horizontal="center" vertical="center" wrapText="1"/>
    </xf>
    <xf numFmtId="4" fontId="32" fillId="0" borderId="34" xfId="339" applyNumberFormat="1" applyFont="1" applyBorder="1" applyAlignment="1">
      <alignment horizontal="center" vertical="center" wrapText="1"/>
    </xf>
    <xf numFmtId="0" fontId="32" fillId="46" borderId="10" xfId="0" applyFont="1" applyFill="1" applyBorder="1" applyAlignment="1" applyProtection="1">
      <alignment horizontal="center" vertical="center"/>
      <protection hidden="1"/>
    </xf>
    <xf numFmtId="0" fontId="37" fillId="0" borderId="25" xfId="339" applyFont="1" applyBorder="1"/>
    <xf numFmtId="0" fontId="74" fillId="53" borderId="0" xfId="339" applyFont="1" applyFill="1"/>
    <xf numFmtId="0" fontId="74" fillId="53" borderId="0" xfId="339" applyFont="1" applyFill="1" applyAlignment="1">
      <alignment vertical="center"/>
    </xf>
    <xf numFmtId="0" fontId="74" fillId="53" borderId="32" xfId="339" applyFont="1" applyFill="1" applyBorder="1"/>
    <xf numFmtId="2" fontId="32" fillId="0" borderId="0" xfId="0" applyNumberFormat="1" applyFont="1"/>
    <xf numFmtId="0" fontId="32" fillId="53" borderId="0" xfId="0" applyFont="1" applyFill="1"/>
    <xf numFmtId="0" fontId="46" fillId="53" borderId="0" xfId="0" applyFont="1" applyFill="1"/>
    <xf numFmtId="0" fontId="49" fillId="53" borderId="0" xfId="0" applyFont="1" applyFill="1"/>
    <xf numFmtId="3" fontId="32" fillId="53" borderId="0" xfId="0" applyNumberFormat="1" applyFont="1" applyFill="1" applyAlignment="1">
      <alignment vertical="center"/>
    </xf>
    <xf numFmtId="0" fontId="31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8" fillId="0" borderId="10" xfId="0" applyFont="1" applyBorder="1" applyAlignment="1" applyProtection="1">
      <alignment horizontal="center" vertical="center" wrapText="1"/>
      <protection hidden="1"/>
    </xf>
    <xf numFmtId="0" fontId="31" fillId="55" borderId="10" xfId="0" applyFont="1" applyFill="1" applyBorder="1" applyAlignment="1" applyProtection="1">
      <alignment horizontal="center" vertical="center"/>
      <protection hidden="1"/>
    </xf>
    <xf numFmtId="0" fontId="31" fillId="56" borderId="10" xfId="0" applyFont="1" applyFill="1" applyBorder="1" applyAlignment="1" applyProtection="1">
      <alignment horizontal="right" vertical="center"/>
      <protection hidden="1"/>
    </xf>
    <xf numFmtId="0" fontId="31" fillId="56" borderId="10" xfId="0" applyFont="1" applyFill="1" applyBorder="1" applyAlignment="1" applyProtection="1">
      <alignment horizontal="right" vertical="center" wrapText="1"/>
      <protection hidden="1"/>
    </xf>
    <xf numFmtId="0" fontId="69" fillId="0" borderId="0" xfId="0" applyFont="1" applyAlignment="1" applyProtection="1">
      <alignment vertical="center" wrapText="1"/>
      <protection hidden="1"/>
    </xf>
    <xf numFmtId="0" fontId="32" fillId="0" borderId="0" xfId="248" applyFont="1" applyBorder="1" applyAlignment="1" applyProtection="1">
      <alignment vertical="center"/>
      <protection hidden="1"/>
    </xf>
    <xf numFmtId="1" fontId="32" fillId="0" borderId="11" xfId="0" applyNumberFormat="1" applyFont="1" applyBorder="1" applyAlignment="1" applyProtection="1">
      <alignment horizontal="center" vertical="center"/>
      <protection hidden="1"/>
    </xf>
    <xf numFmtId="166" fontId="32" fillId="0" borderId="0" xfId="0" applyNumberFormat="1" applyFont="1"/>
    <xf numFmtId="0" fontId="31" fillId="0" borderId="10" xfId="0" applyFont="1" applyBorder="1" applyAlignment="1" applyProtection="1">
      <alignment horizontal="center" vertical="center" wrapText="1"/>
      <protection hidden="1"/>
    </xf>
    <xf numFmtId="0" fontId="73" fillId="0" borderId="0" xfId="0" applyFont="1" applyAlignment="1" applyProtection="1">
      <alignment vertical="center" wrapText="1"/>
      <protection hidden="1"/>
    </xf>
    <xf numFmtId="0" fontId="61" fillId="0" borderId="0" xfId="340" applyFont="1" applyAlignment="1" applyProtection="1">
      <alignment horizontal="center" vertical="center"/>
      <protection hidden="1"/>
    </xf>
    <xf numFmtId="0" fontId="66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 applyProtection="1">
      <alignment horizontal="center" vertical="center" wrapText="1"/>
      <protection hidden="1"/>
    </xf>
    <xf numFmtId="0" fontId="64" fillId="0" borderId="0" xfId="0" applyFont="1" applyAlignment="1">
      <alignment horizontal="center" vertical="center" wrapText="1"/>
    </xf>
    <xf numFmtId="0" fontId="59" fillId="0" borderId="0" xfId="341" applyFont="1" applyAlignment="1">
      <alignment horizontal="center" vertical="center"/>
    </xf>
    <xf numFmtId="0" fontId="111" fillId="0" borderId="0" xfId="0" applyFont="1" applyAlignment="1">
      <alignment vertical="center"/>
    </xf>
    <xf numFmtId="0" fontId="65" fillId="0" borderId="17" xfId="0" applyFont="1" applyBorder="1"/>
    <xf numFmtId="0" fontId="65" fillId="0" borderId="15" xfId="0" applyFont="1" applyBorder="1"/>
    <xf numFmtId="0" fontId="65" fillId="0" borderId="18" xfId="0" applyFont="1" applyBorder="1"/>
    <xf numFmtId="0" fontId="31" fillId="0" borderId="0" xfId="318" applyFont="1" applyAlignment="1" applyProtection="1">
      <alignment vertical="center" wrapText="1"/>
      <protection hidden="1"/>
    </xf>
    <xf numFmtId="0" fontId="30" fillId="0" borderId="0" xfId="340" applyFont="1" applyProtection="1">
      <protection hidden="1"/>
    </xf>
    <xf numFmtId="0" fontId="49" fillId="0" borderId="0" xfId="0" applyFont="1"/>
    <xf numFmtId="0" fontId="65" fillId="0" borderId="0" xfId="0" applyFont="1" applyAlignment="1">
      <alignment horizontal="right"/>
    </xf>
    <xf numFmtId="0" fontId="49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49" borderId="21" xfId="0" applyFont="1" applyFill="1" applyBorder="1" applyAlignment="1">
      <alignment horizontal="center" vertical="center"/>
    </xf>
    <xf numFmtId="0" fontId="65" fillId="48" borderId="0" xfId="0" applyFont="1" applyFill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65" fillId="53" borderId="0" xfId="0" applyFont="1" applyFill="1"/>
    <xf numFmtId="0" fontId="35" fillId="0" borderId="0" xfId="0" applyFont="1" applyAlignment="1">
      <alignment vertical="center" wrapText="1"/>
    </xf>
    <xf numFmtId="166" fontId="32" fillId="0" borderId="22" xfId="0" applyNumberFormat="1" applyFont="1" applyBorder="1" applyAlignment="1">
      <alignment horizontal="center" vertical="center" wrapText="1"/>
    </xf>
    <xf numFmtId="166" fontId="32" fillId="0" borderId="24" xfId="0" applyNumberFormat="1" applyFont="1" applyBorder="1" applyAlignment="1">
      <alignment horizontal="center" vertical="center" wrapText="1"/>
    </xf>
    <xf numFmtId="1" fontId="65" fillId="0" borderId="0" xfId="0" applyNumberFormat="1" applyFont="1"/>
    <xf numFmtId="1" fontId="65" fillId="53" borderId="0" xfId="0" applyNumberFormat="1" applyFont="1" applyFill="1"/>
    <xf numFmtId="166" fontId="65" fillId="0" borderId="2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 applyAlignment="1">
      <alignment horizontal="center"/>
    </xf>
    <xf numFmtId="1" fontId="35" fillId="0" borderId="0" xfId="0" applyNumberFormat="1" applyFont="1" applyAlignment="1" applyProtection="1">
      <alignment horizontal="center" vertical="center" wrapText="1"/>
      <protection hidden="1"/>
    </xf>
    <xf numFmtId="1" fontId="32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65" fillId="0" borderId="0" xfId="0" applyFont="1" applyAlignment="1">
      <alignment vertical="center" wrapText="1"/>
    </xf>
    <xf numFmtId="0" fontId="31" fillId="0" borderId="29" xfId="0" applyFont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31" fillId="0" borderId="27" xfId="0" applyFont="1" applyBorder="1" applyAlignment="1">
      <alignment vertical="center"/>
    </xf>
    <xf numFmtId="2" fontId="35" fillId="0" borderId="0" xfId="0" applyNumberFormat="1" applyFont="1" applyAlignment="1">
      <alignment horizontal="center" vertical="center" wrapText="1"/>
    </xf>
    <xf numFmtId="1" fontId="35" fillId="0" borderId="0" xfId="0" applyNumberFormat="1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/>
    </xf>
    <xf numFmtId="1" fontId="59" fillId="48" borderId="0" xfId="0" applyNumberFormat="1" applyFont="1" applyFill="1" applyAlignment="1">
      <alignment horizontal="center" vertical="center"/>
    </xf>
    <xf numFmtId="1" fontId="32" fillId="0" borderId="0" xfId="0" applyNumberFormat="1" applyFont="1"/>
    <xf numFmtId="1" fontId="73" fillId="52" borderId="0" xfId="0" applyNumberFormat="1" applyFont="1" applyFill="1" applyAlignment="1">
      <alignment horizontal="center" vertical="center"/>
    </xf>
    <xf numFmtId="0" fontId="35" fillId="53" borderId="11" xfId="0" applyFont="1" applyFill="1" applyBorder="1" applyAlignment="1">
      <alignment horizontal="center" vertical="center"/>
    </xf>
    <xf numFmtId="0" fontId="35" fillId="53" borderId="14" xfId="0" applyFont="1" applyFill="1" applyBorder="1" applyAlignment="1">
      <alignment horizontal="center" vertical="center"/>
    </xf>
    <xf numFmtId="0" fontId="35" fillId="53" borderId="12" xfId="0" applyFont="1" applyFill="1" applyBorder="1" applyAlignment="1">
      <alignment horizontal="center" vertical="center"/>
    </xf>
    <xf numFmtId="1" fontId="32" fillId="0" borderId="0" xfId="0" applyNumberFormat="1" applyFont="1" applyAlignment="1">
      <alignment vertical="center"/>
    </xf>
    <xf numFmtId="0" fontId="32" fillId="53" borderId="10" xfId="0" applyFont="1" applyFill="1" applyBorder="1" applyAlignment="1">
      <alignment horizontal="center" vertical="center"/>
    </xf>
    <xf numFmtId="1" fontId="32" fillId="53" borderId="0" xfId="0" applyNumberFormat="1" applyFont="1" applyFill="1"/>
    <xf numFmtId="1" fontId="0" fillId="0" borderId="0" xfId="0" applyNumberFormat="1"/>
    <xf numFmtId="0" fontId="32" fillId="0" borderId="15" xfId="318" applyFont="1" applyBorder="1" applyAlignment="1" applyProtection="1">
      <alignment horizontal="center" vertical="center"/>
      <protection hidden="1"/>
    </xf>
    <xf numFmtId="0" fontId="65" fillId="0" borderId="10" xfId="0" applyFont="1" applyBorder="1"/>
    <xf numFmtId="0" fontId="34" fillId="0" borderId="0" xfId="0" applyFont="1" applyAlignment="1" applyProtection="1">
      <alignment horizontal="center" vertical="center" wrapText="1"/>
      <protection hidden="1"/>
    </xf>
    <xf numFmtId="0" fontId="64" fillId="0" borderId="0" xfId="0" applyFont="1" applyAlignment="1">
      <alignment wrapText="1"/>
    </xf>
    <xf numFmtId="0" fontId="74" fillId="0" borderId="0" xfId="339" applyFont="1" applyAlignment="1">
      <alignment vertical="center"/>
    </xf>
    <xf numFmtId="49" fontId="31" fillId="0" borderId="10" xfId="166" applyNumberFormat="1" applyFont="1" applyBorder="1" applyAlignment="1">
      <alignment horizontal="center" vertical="center" wrapText="1"/>
    </xf>
    <xf numFmtId="0" fontId="31" fillId="0" borderId="13" xfId="314" applyFont="1" applyBorder="1" applyAlignment="1" applyProtection="1">
      <alignment horizontal="center" vertical="center" wrapText="1"/>
      <protection hidden="1"/>
    </xf>
    <xf numFmtId="166" fontId="32" fillId="0" borderId="17" xfId="0" applyNumberFormat="1" applyFont="1" applyBorder="1" applyAlignment="1" applyProtection="1">
      <alignment horizontal="center" vertical="center"/>
      <protection hidden="1"/>
    </xf>
    <xf numFmtId="0" fontId="73" fillId="0" borderId="10" xfId="0" applyFont="1" applyBorder="1" applyAlignment="1">
      <alignment horizontal="center" vertical="center"/>
    </xf>
    <xf numFmtId="9" fontId="43" fillId="0" borderId="0" xfId="357" applyFont="1" applyBorder="1" applyAlignment="1">
      <alignment horizontal="center" vertical="center"/>
    </xf>
    <xf numFmtId="0" fontId="68" fillId="51" borderId="10" xfId="0" applyFont="1" applyFill="1" applyBorder="1" applyAlignment="1" applyProtection="1">
      <alignment horizontal="center" vertical="center" wrapText="1"/>
      <protection hidden="1"/>
    </xf>
    <xf numFmtId="0" fontId="73" fillId="0" borderId="14" xfId="0" applyFont="1" applyBorder="1" applyAlignment="1" applyProtection="1">
      <alignment horizontal="center" vertical="center" wrapText="1"/>
      <protection hidden="1"/>
    </xf>
    <xf numFmtId="166" fontId="73" fillId="0" borderId="11" xfId="0" applyNumberFormat="1" applyFont="1" applyBorder="1" applyAlignment="1" applyProtection="1">
      <alignment horizontal="center" vertical="center"/>
      <protection hidden="1"/>
    </xf>
    <xf numFmtId="166" fontId="73" fillId="0" borderId="12" xfId="0" applyNumberFormat="1" applyFont="1" applyBorder="1" applyAlignment="1" applyProtection="1">
      <alignment horizontal="center" vertical="center"/>
      <protection hidden="1"/>
    </xf>
    <xf numFmtId="166" fontId="73" fillId="0" borderId="15" xfId="0" applyNumberFormat="1" applyFont="1" applyBorder="1" applyAlignment="1" applyProtection="1">
      <alignment horizontal="center" vertical="center"/>
      <protection hidden="1"/>
    </xf>
    <xf numFmtId="166" fontId="73" fillId="0" borderId="17" xfId="0" applyNumberFormat="1" applyFont="1" applyBorder="1" applyAlignment="1" applyProtection="1">
      <alignment horizontal="center" vertical="center"/>
      <protection hidden="1"/>
    </xf>
    <xf numFmtId="2" fontId="73" fillId="0" borderId="10" xfId="0" applyNumberFormat="1" applyFont="1" applyBorder="1" applyAlignment="1" applyProtection="1">
      <alignment horizontal="center" vertical="center" wrapText="1"/>
      <protection hidden="1"/>
    </xf>
    <xf numFmtId="0" fontId="93" fillId="0" borderId="0" xfId="0" applyFont="1"/>
    <xf numFmtId="1" fontId="33" fillId="0" borderId="0" xfId="0" applyNumberFormat="1" applyFont="1"/>
    <xf numFmtId="0" fontId="65" fillId="0" borderId="0" xfId="0" applyFont="1" applyAlignment="1">
      <alignment horizontal="left"/>
    </xf>
    <xf numFmtId="1" fontId="65" fillId="0" borderId="0" xfId="0" applyNumberFormat="1" applyFont="1" applyAlignment="1">
      <alignment horizontal="center" vertical="center"/>
    </xf>
    <xf numFmtId="2" fontId="31" fillId="0" borderId="10" xfId="166" applyNumberFormat="1" applyFont="1" applyBorder="1" applyAlignment="1">
      <alignment horizontal="center" vertical="center" wrapText="1"/>
    </xf>
    <xf numFmtId="2" fontId="31" fillId="0" borderId="18" xfId="166" applyNumberFormat="1" applyFont="1" applyBorder="1" applyAlignment="1">
      <alignment horizontal="center" vertical="center" wrapText="1"/>
    </xf>
    <xf numFmtId="2" fontId="31" fillId="0" borderId="17" xfId="166" applyNumberFormat="1" applyFont="1" applyBorder="1" applyAlignment="1">
      <alignment horizontal="center" vertical="center" wrapText="1"/>
    </xf>
    <xf numFmtId="2" fontId="31" fillId="0" borderId="34" xfId="166" applyNumberFormat="1" applyFont="1" applyBorder="1" applyAlignment="1">
      <alignment horizontal="center" vertical="center" wrapText="1"/>
    </xf>
    <xf numFmtId="0" fontId="73" fillId="0" borderId="17" xfId="0" applyFont="1" applyBorder="1" applyAlignment="1" applyProtection="1">
      <alignment horizontal="center" vertical="center" wrapText="1"/>
      <protection hidden="1"/>
    </xf>
    <xf numFmtId="0" fontId="73" fillId="0" borderId="17" xfId="0" applyFont="1" applyBorder="1" applyAlignment="1">
      <alignment horizontal="left" vertical="center" wrapText="1"/>
    </xf>
    <xf numFmtId="3" fontId="32" fillId="0" borderId="0" xfId="0" applyNumberFormat="1" applyFont="1" applyAlignment="1">
      <alignment vertical="center"/>
    </xf>
    <xf numFmtId="0" fontId="30" fillId="0" borderId="0" xfId="340" applyFont="1" applyAlignment="1" applyProtection="1">
      <alignment vertical="center"/>
      <protection hidden="1"/>
    </xf>
    <xf numFmtId="0" fontId="31" fillId="0" borderId="0" xfId="340" applyFont="1" applyAlignment="1">
      <alignment vertical="center"/>
    </xf>
    <xf numFmtId="0" fontId="13" fillId="0" borderId="0" xfId="0" applyFont="1" applyAlignment="1">
      <alignment vertical="center"/>
    </xf>
    <xf numFmtId="14" fontId="32" fillId="0" borderId="0" xfId="0" applyNumberFormat="1" applyFont="1" applyAlignment="1">
      <alignment horizontal="left"/>
    </xf>
    <xf numFmtId="2" fontId="33" fillId="0" borderId="0" xfId="0" applyNumberFormat="1" applyFont="1"/>
    <xf numFmtId="2" fontId="65" fillId="0" borderId="0" xfId="0" applyNumberFormat="1" applyFont="1"/>
    <xf numFmtId="166" fontId="29" fillId="0" borderId="0" xfId="0" applyNumberFormat="1" applyFont="1"/>
    <xf numFmtId="174" fontId="29" fillId="0" borderId="0" xfId="357" applyNumberFormat="1" applyFont="1"/>
    <xf numFmtId="10" fontId="29" fillId="0" borderId="0" xfId="357" applyNumberFormat="1" applyFont="1"/>
    <xf numFmtId="2" fontId="29" fillId="0" borderId="0" xfId="0" applyNumberFormat="1" applyFont="1"/>
    <xf numFmtId="175" fontId="29" fillId="0" borderId="0" xfId="0" applyNumberFormat="1" applyFont="1"/>
    <xf numFmtId="4" fontId="32" fillId="53" borderId="0" xfId="0" applyNumberFormat="1" applyFont="1" applyFill="1" applyAlignment="1">
      <alignment vertical="center"/>
    </xf>
    <xf numFmtId="0" fontId="59" fillId="48" borderId="0" xfId="0" applyFont="1" applyFill="1" applyAlignment="1">
      <alignment horizontal="center" vertical="center" wrapText="1"/>
    </xf>
    <xf numFmtId="0" fontId="32" fillId="53" borderId="0" xfId="0" applyFont="1" applyFill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vertical="center"/>
    </xf>
    <xf numFmtId="2" fontId="33" fillId="52" borderId="0" xfId="0" applyNumberFormat="1" applyFont="1" applyFill="1" applyAlignment="1">
      <alignment vertical="center"/>
    </xf>
    <xf numFmtId="0" fontId="73" fillId="0" borderId="10" xfId="0" applyFont="1" applyBorder="1" applyAlignment="1" applyProtection="1">
      <alignment horizontal="center" vertical="center" wrapText="1"/>
      <protection hidden="1"/>
    </xf>
    <xf numFmtId="2" fontId="32" fillId="0" borderId="0" xfId="0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 wrapText="1"/>
    </xf>
    <xf numFmtId="1" fontId="31" fillId="0" borderId="0" xfId="0" applyNumberFormat="1" applyFont="1" applyAlignment="1">
      <alignment horizontal="center" vertical="center"/>
    </xf>
    <xf numFmtId="9" fontId="112" fillId="59" borderId="10" xfId="357" applyFont="1" applyFill="1" applyBorder="1" applyAlignment="1">
      <alignment horizontal="center" vertical="center" wrapText="1"/>
    </xf>
    <xf numFmtId="0" fontId="113" fillId="59" borderId="10" xfId="0" applyFont="1" applyFill="1" applyBorder="1" applyAlignment="1">
      <alignment horizontal="center" vertical="center" wrapText="1"/>
    </xf>
    <xf numFmtId="0" fontId="3" fillId="0" borderId="10" xfId="318" applyBorder="1"/>
    <xf numFmtId="2" fontId="65" fillId="0" borderId="0" xfId="357" applyNumberFormat="1" applyFont="1"/>
    <xf numFmtId="0" fontId="114" fillId="0" borderId="0" xfId="0" applyFont="1" applyAlignment="1" applyProtection="1">
      <alignment vertical="top"/>
      <protection hidden="1"/>
    </xf>
    <xf numFmtId="0" fontId="115" fillId="0" borderId="0" xfId="0" applyFont="1" applyAlignment="1" applyProtection="1">
      <alignment vertical="top"/>
      <protection hidden="1"/>
    </xf>
    <xf numFmtId="0" fontId="114" fillId="0" borderId="0" xfId="0" applyFont="1" applyAlignment="1" applyProtection="1">
      <alignment vertical="center" wrapText="1"/>
      <protection hidden="1"/>
    </xf>
    <xf numFmtId="0" fontId="65" fillId="0" borderId="0" xfId="0" applyFont="1" applyAlignment="1" applyProtection="1">
      <alignment vertical="center" wrapText="1"/>
      <protection hidden="1"/>
    </xf>
    <xf numFmtId="0" fontId="116" fillId="0" borderId="0" xfId="0" applyFont="1" applyAlignment="1">
      <alignment vertical="center"/>
    </xf>
    <xf numFmtId="1" fontId="80" fillId="53" borderId="0" xfId="0" applyNumberFormat="1" applyFont="1" applyFill="1" applyAlignment="1">
      <alignment vertical="center"/>
    </xf>
    <xf numFmtId="0" fontId="32" fillId="53" borderId="0" xfId="0" applyFont="1" applyFill="1" applyAlignment="1">
      <alignment vertical="center"/>
    </xf>
    <xf numFmtId="0" fontId="49" fillId="53" borderId="0" xfId="0" applyFont="1" applyFill="1" applyAlignment="1">
      <alignment vertical="center"/>
    </xf>
    <xf numFmtId="0" fontId="73" fillId="0" borderId="0" xfId="0" applyFont="1" applyAlignment="1">
      <alignment vertical="center" wrapText="1"/>
    </xf>
    <xf numFmtId="2" fontId="32" fillId="0" borderId="10" xfId="318" applyNumberFormat="1" applyFont="1" applyBorder="1" applyAlignment="1" applyProtection="1">
      <alignment horizontal="center" vertical="center" wrapText="1"/>
      <protection hidden="1"/>
    </xf>
    <xf numFmtId="0" fontId="32" fillId="0" borderId="17" xfId="318" applyFont="1" applyBorder="1" applyAlignment="1" applyProtection="1">
      <alignment vertical="center" wrapText="1"/>
      <protection hidden="1"/>
    </xf>
    <xf numFmtId="174" fontId="33" fillId="0" borderId="0" xfId="357" applyNumberFormat="1" applyFont="1"/>
    <xf numFmtId="1" fontId="32" fillId="0" borderId="12" xfId="0" applyNumberFormat="1" applyFont="1" applyBorder="1" applyAlignment="1" applyProtection="1">
      <alignment horizontal="center" vertical="center" wrapText="1"/>
      <protection hidden="1"/>
    </xf>
    <xf numFmtId="0" fontId="31" fillId="51" borderId="21" xfId="0" applyFont="1" applyFill="1" applyBorder="1" applyAlignment="1" applyProtection="1">
      <alignment horizontal="center" vertical="center" wrapText="1"/>
      <protection hidden="1"/>
    </xf>
    <xf numFmtId="0" fontId="31" fillId="51" borderId="18" xfId="0" applyFont="1" applyFill="1" applyBorder="1" applyAlignment="1" applyProtection="1">
      <alignment horizontal="center" vertical="center" wrapText="1"/>
      <protection hidden="1"/>
    </xf>
    <xf numFmtId="0" fontId="31" fillId="61" borderId="18" xfId="0" applyFont="1" applyFill="1" applyBorder="1" applyAlignment="1" applyProtection="1">
      <alignment horizontal="center" vertical="center" wrapText="1"/>
      <protection hidden="1"/>
    </xf>
    <xf numFmtId="1" fontId="32" fillId="58" borderId="14" xfId="0" applyNumberFormat="1" applyFont="1" applyFill="1" applyBorder="1" applyAlignment="1" applyProtection="1">
      <alignment horizontal="center" vertical="center" wrapText="1"/>
      <protection hidden="1"/>
    </xf>
    <xf numFmtId="0" fontId="117" fillId="0" borderId="25" xfId="340" applyFont="1" applyBorder="1" applyAlignment="1" applyProtection="1">
      <alignment vertical="center" wrapText="1"/>
      <protection hidden="1"/>
    </xf>
    <xf numFmtId="0" fontId="34" fillId="0" borderId="15" xfId="0" applyFont="1" applyBorder="1" applyAlignment="1" applyProtection="1">
      <alignment vertical="center" wrapText="1"/>
      <protection hidden="1"/>
    </xf>
    <xf numFmtId="0" fontId="74" fillId="53" borderId="32" xfId="339" applyFont="1" applyFill="1" applyBorder="1" applyAlignment="1">
      <alignment vertical="center"/>
    </xf>
    <xf numFmtId="14" fontId="32" fillId="0" borderId="0" xfId="0" applyNumberFormat="1" applyFont="1"/>
    <xf numFmtId="2" fontId="31" fillId="0" borderId="10" xfId="0" applyNumberFormat="1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7" fillId="0" borderId="0" xfId="340" applyFont="1" applyAlignment="1" applyProtection="1">
      <alignment vertical="center" wrapText="1"/>
      <protection hidden="1"/>
    </xf>
    <xf numFmtId="0" fontId="59" fillId="0" borderId="10" xfId="0" applyFont="1" applyBorder="1" applyAlignment="1">
      <alignment horizontal="center" vertical="center" wrapText="1"/>
    </xf>
    <xf numFmtId="3" fontId="101" fillId="49" borderId="23" xfId="0" applyNumberFormat="1" applyFont="1" applyFill="1" applyBorder="1" applyAlignment="1">
      <alignment horizontal="center" vertical="center" wrapText="1"/>
    </xf>
    <xf numFmtId="3" fontId="101" fillId="49" borderId="4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66" fontId="73" fillId="0" borderId="14" xfId="0" applyNumberFormat="1" applyFont="1" applyBorder="1" applyAlignment="1" applyProtection="1">
      <alignment horizontal="center" vertical="center"/>
      <protection hidden="1"/>
    </xf>
    <xf numFmtId="1" fontId="32" fillId="0" borderId="14" xfId="0" applyNumberFormat="1" applyFont="1" applyBorder="1" applyAlignment="1" applyProtection="1">
      <alignment horizontal="center" vertical="center"/>
      <protection hidden="1"/>
    </xf>
    <xf numFmtId="0" fontId="115" fillId="0" borderId="0" xfId="0" applyFont="1" applyAlignment="1" applyProtection="1">
      <alignment vertical="center" wrapText="1"/>
      <protection hidden="1"/>
    </xf>
    <xf numFmtId="2" fontId="35" fillId="0" borderId="0" xfId="339" applyNumberFormat="1" applyFont="1" applyAlignment="1">
      <alignment vertical="center"/>
    </xf>
    <xf numFmtId="2" fontId="35" fillId="48" borderId="11" xfId="0" applyNumberFormat="1" applyFont="1" applyFill="1" applyBorder="1" applyAlignment="1" applyProtection="1">
      <alignment horizontal="center" vertical="center" wrapText="1"/>
      <protection hidden="1"/>
    </xf>
    <xf numFmtId="2" fontId="35" fillId="48" borderId="14" xfId="0" applyNumberFormat="1" applyFont="1" applyFill="1" applyBorder="1" applyAlignment="1" applyProtection="1">
      <alignment horizontal="center" vertical="center" wrapText="1"/>
      <protection hidden="1"/>
    </xf>
    <xf numFmtId="2" fontId="32" fillId="54" borderId="14" xfId="0" applyNumberFormat="1" applyFont="1" applyFill="1" applyBorder="1" applyAlignment="1" applyProtection="1">
      <alignment horizontal="center" vertical="center" wrapText="1"/>
      <protection hidden="1"/>
    </xf>
    <xf numFmtId="2" fontId="35" fillId="48" borderId="12" xfId="0" applyNumberFormat="1" applyFont="1" applyFill="1" applyBorder="1" applyAlignment="1" applyProtection="1">
      <alignment horizontal="center" vertical="center" wrapText="1"/>
      <protection hidden="1"/>
    </xf>
    <xf numFmtId="2" fontId="107" fillId="0" borderId="20" xfId="0" applyNumberFormat="1" applyFont="1" applyBorder="1" applyAlignment="1" applyProtection="1">
      <alignment horizontal="center" vertical="center"/>
      <protection hidden="1"/>
    </xf>
    <xf numFmtId="165" fontId="32" fillId="0" borderId="0" xfId="0" applyNumberFormat="1" applyFont="1"/>
    <xf numFmtId="1" fontId="29" fillId="0" borderId="0" xfId="0" applyNumberFormat="1" applyFont="1"/>
    <xf numFmtId="2" fontId="33" fillId="0" borderId="0" xfId="0" applyNumberFormat="1" applyFont="1" applyAlignment="1">
      <alignment horizontal="center" vertical="center"/>
    </xf>
    <xf numFmtId="2" fontId="31" fillId="0" borderId="1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32" fillId="0" borderId="0" xfId="0" applyNumberFormat="1" applyFont="1" applyAlignment="1">
      <alignment vertical="center" wrapText="1"/>
    </xf>
    <xf numFmtId="2" fontId="32" fillId="0" borderId="0" xfId="0" applyNumberFormat="1" applyFont="1" applyAlignment="1">
      <alignment horizontal="center" vertical="center" wrapText="1"/>
    </xf>
    <xf numFmtId="166" fontId="32" fillId="0" borderId="0" xfId="0" applyNumberFormat="1" applyFont="1" applyAlignment="1" applyProtection="1">
      <alignment horizontal="center" vertical="center" wrapText="1"/>
      <protection hidden="1"/>
    </xf>
    <xf numFmtId="2" fontId="35" fillId="0" borderId="0" xfId="0" applyNumberFormat="1" applyFont="1" applyAlignment="1" applyProtection="1">
      <alignment horizontal="center" vertical="center" wrapText="1"/>
      <protection hidden="1"/>
    </xf>
    <xf numFmtId="2" fontId="31" fillId="0" borderId="73" xfId="0" applyNumberFormat="1" applyFont="1" applyBorder="1" applyAlignment="1">
      <alignment horizontal="center" vertical="center" wrapText="1"/>
    </xf>
    <xf numFmtId="2" fontId="31" fillId="0" borderId="73" xfId="0" applyNumberFormat="1" applyFont="1" applyBorder="1" applyAlignment="1">
      <alignment vertical="center" wrapText="1"/>
    </xf>
    <xf numFmtId="0" fontId="32" fillId="0" borderId="74" xfId="0" applyFont="1" applyBorder="1" applyAlignment="1" applyProtection="1">
      <alignment vertical="center"/>
      <protection hidden="1"/>
    </xf>
    <xf numFmtId="2" fontId="27" fillId="0" borderId="0" xfId="0" applyNumberFormat="1" applyFont="1" applyAlignment="1" applyProtection="1">
      <alignment horizontal="center" vertical="center" wrapText="1"/>
      <protection hidden="1"/>
    </xf>
    <xf numFmtId="0" fontId="37" fillId="0" borderId="0" xfId="340" applyFont="1" applyAlignment="1" applyProtection="1">
      <alignment vertical="center"/>
      <protection hidden="1"/>
    </xf>
    <xf numFmtId="0" fontId="32" fillId="0" borderId="35" xfId="0" applyFont="1" applyBorder="1" applyAlignment="1">
      <alignment horizontal="center" vertical="center" wrapText="1"/>
    </xf>
    <xf numFmtId="2" fontId="31" fillId="0" borderId="35" xfId="0" applyNumberFormat="1" applyFont="1" applyBorder="1" applyAlignment="1">
      <alignment vertical="center" wrapText="1"/>
    </xf>
    <xf numFmtId="0" fontId="32" fillId="0" borderId="35" xfId="0" applyFont="1" applyBorder="1" applyAlignment="1">
      <alignment vertical="center" wrapText="1"/>
    </xf>
    <xf numFmtId="0" fontId="73" fillId="0" borderId="35" xfId="0" applyFont="1" applyBorder="1" applyAlignment="1">
      <alignment vertical="center" wrapText="1"/>
    </xf>
    <xf numFmtId="166" fontId="32" fillId="0" borderId="35" xfId="0" applyNumberFormat="1" applyFont="1" applyBorder="1" applyAlignment="1">
      <alignment horizontal="center" vertical="center" wrapText="1"/>
    </xf>
    <xf numFmtId="0" fontId="3" fillId="0" borderId="0" xfId="318" applyAlignment="1">
      <alignment vertical="center"/>
    </xf>
    <xf numFmtId="0" fontId="35" fillId="0" borderId="0" xfId="0" applyFont="1" applyAlignment="1">
      <alignment vertical="center"/>
    </xf>
    <xf numFmtId="0" fontId="31" fillId="49" borderId="10" xfId="0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3" fontId="35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5" xfId="0" applyFont="1" applyBorder="1" applyAlignment="1">
      <alignment vertical="top" wrapText="1"/>
    </xf>
    <xf numFmtId="166" fontId="31" fillId="49" borderId="21" xfId="0" applyNumberFormat="1" applyFont="1" applyFill="1" applyBorder="1" applyAlignment="1">
      <alignment vertical="center" wrapText="1"/>
    </xf>
    <xf numFmtId="166" fontId="31" fillId="49" borderId="19" xfId="0" applyNumberFormat="1" applyFont="1" applyFill="1" applyBorder="1" applyAlignment="1">
      <alignment vertical="center" wrapText="1"/>
    </xf>
    <xf numFmtId="0" fontId="91" fillId="0" borderId="0" xfId="0" applyFont="1" applyAlignment="1">
      <alignment vertical="center" wrapText="1"/>
    </xf>
    <xf numFmtId="166" fontId="31" fillId="49" borderId="13" xfId="0" applyNumberFormat="1" applyFont="1" applyFill="1" applyBorder="1" applyAlignment="1">
      <alignment vertical="center" wrapText="1"/>
    </xf>
    <xf numFmtId="0" fontId="118" fillId="47" borderId="10" xfId="0" applyFont="1" applyFill="1" applyBorder="1" applyAlignment="1">
      <alignment horizontal="center" vertical="center"/>
    </xf>
    <xf numFmtId="0" fontId="32" fillId="62" borderId="10" xfId="0" applyFont="1" applyFill="1" applyBorder="1" applyAlignment="1" applyProtection="1">
      <alignment vertical="center"/>
      <protection hidden="1"/>
    </xf>
    <xf numFmtId="0" fontId="31" fillId="62" borderId="21" xfId="0" applyFont="1" applyFill="1" applyBorder="1" applyAlignment="1" applyProtection="1">
      <alignment horizontal="left" vertical="center" wrapText="1"/>
      <protection hidden="1"/>
    </xf>
    <xf numFmtId="0" fontId="31" fillId="62" borderId="21" xfId="0" applyFont="1" applyFill="1" applyBorder="1" applyAlignment="1" applyProtection="1">
      <alignment vertical="center" wrapText="1"/>
      <protection hidden="1"/>
    </xf>
    <xf numFmtId="0" fontId="73" fillId="62" borderId="21" xfId="0" applyFont="1" applyFill="1" applyBorder="1" applyAlignment="1" applyProtection="1">
      <alignment horizontal="center" vertical="center" wrapText="1"/>
      <protection hidden="1"/>
    </xf>
    <xf numFmtId="2" fontId="32" fillId="62" borderId="10" xfId="0" applyNumberFormat="1" applyFont="1" applyFill="1" applyBorder="1" applyAlignment="1" applyProtection="1">
      <alignment horizontal="center" vertical="center"/>
      <protection hidden="1"/>
    </xf>
    <xf numFmtId="0" fontId="32" fillId="62" borderId="10" xfId="0" applyFont="1" applyFill="1" applyBorder="1" applyAlignment="1" applyProtection="1">
      <alignment horizontal="center" vertical="center" wrapText="1"/>
      <protection hidden="1"/>
    </xf>
    <xf numFmtId="0" fontId="120" fillId="0" borderId="0" xfId="0" applyFont="1" applyAlignment="1">
      <alignment vertical="center"/>
    </xf>
    <xf numFmtId="176" fontId="32" fillId="0" borderId="0" xfId="378" applyNumberFormat="1" applyFont="1" applyFill="1"/>
    <xf numFmtId="9" fontId="32" fillId="0" borderId="0" xfId="357" applyFont="1"/>
    <xf numFmtId="0" fontId="73" fillId="0" borderId="11" xfId="0" applyFont="1" applyBorder="1" applyAlignment="1" applyProtection="1">
      <alignment horizontal="center" vertical="center" wrapText="1"/>
      <protection hidden="1"/>
    </xf>
    <xf numFmtId="1" fontId="32" fillId="58" borderId="11" xfId="0" applyNumberFormat="1" applyFont="1" applyFill="1" applyBorder="1" applyAlignment="1" applyProtection="1">
      <alignment horizontal="center" vertical="center" wrapText="1"/>
      <protection hidden="1"/>
    </xf>
    <xf numFmtId="3" fontId="32" fillId="0" borderId="17" xfId="0" applyNumberFormat="1" applyFont="1" applyBorder="1" applyAlignment="1" applyProtection="1">
      <alignment vertical="center" wrapText="1"/>
      <protection hidden="1"/>
    </xf>
    <xf numFmtId="4" fontId="73" fillId="0" borderId="17" xfId="0" applyNumberFormat="1" applyFont="1" applyBorder="1" applyAlignment="1" applyProtection="1">
      <alignment horizontal="center" vertical="center" wrapText="1"/>
      <protection hidden="1"/>
    </xf>
    <xf numFmtId="0" fontId="68" fillId="55" borderId="19" xfId="0" applyFont="1" applyFill="1" applyBorder="1" applyAlignment="1">
      <alignment vertical="center" wrapText="1"/>
    </xf>
    <xf numFmtId="2" fontId="73" fillId="0" borderId="17" xfId="0" applyNumberFormat="1" applyFont="1" applyBorder="1" applyAlignment="1" applyProtection="1">
      <alignment horizontal="center" vertical="center" wrapText="1"/>
      <protection hidden="1"/>
    </xf>
    <xf numFmtId="0" fontId="73" fillId="46" borderId="10" xfId="0" applyFont="1" applyFill="1" applyBorder="1" applyAlignment="1" applyProtection="1">
      <alignment horizontal="center" vertical="center" wrapText="1"/>
      <protection hidden="1"/>
    </xf>
    <xf numFmtId="0" fontId="31" fillId="0" borderId="15" xfId="0" applyFont="1" applyBorder="1" applyAlignment="1" applyProtection="1">
      <alignment vertical="center" wrapText="1"/>
      <protection hidden="1"/>
    </xf>
    <xf numFmtId="0" fontId="31" fillId="0" borderId="18" xfId="0" applyFont="1" applyBorder="1" applyAlignment="1" applyProtection="1">
      <alignment vertical="center" wrapText="1"/>
      <protection hidden="1"/>
    </xf>
    <xf numFmtId="0" fontId="31" fillId="55" borderId="10" xfId="0" applyFont="1" applyFill="1" applyBorder="1" applyAlignment="1">
      <alignment horizontal="center" vertical="center" wrapText="1"/>
    </xf>
    <xf numFmtId="3" fontId="127" fillId="58" borderId="24" xfId="0" applyNumberFormat="1" applyFont="1" applyFill="1" applyBorder="1" applyAlignment="1">
      <alignment horizontal="center" vertical="center" wrapText="1"/>
    </xf>
    <xf numFmtId="3" fontId="127" fillId="58" borderId="41" xfId="0" applyNumberFormat="1" applyFont="1" applyFill="1" applyBorder="1" applyAlignment="1">
      <alignment horizontal="center" vertical="center" wrapText="1"/>
    </xf>
    <xf numFmtId="2" fontId="31" fillId="58" borderId="11" xfId="0" applyNumberFormat="1" applyFont="1" applyFill="1" applyBorder="1" applyAlignment="1">
      <alignment horizontal="center" vertical="center" wrapText="1"/>
    </xf>
    <xf numFmtId="1" fontId="31" fillId="58" borderId="12" xfId="0" applyNumberFormat="1" applyFont="1" applyFill="1" applyBorder="1" applyAlignment="1">
      <alignment horizontal="center" vertical="center" wrapText="1"/>
    </xf>
    <xf numFmtId="1" fontId="31" fillId="58" borderId="11" xfId="0" applyNumberFormat="1" applyFont="1" applyFill="1" applyBorder="1" applyAlignment="1">
      <alignment horizontal="center" vertical="center" wrapText="1"/>
    </xf>
    <xf numFmtId="166" fontId="31" fillId="58" borderId="12" xfId="0" applyNumberFormat="1" applyFont="1" applyFill="1" applyBorder="1" applyAlignment="1">
      <alignment horizontal="center" vertical="center" wrapText="1"/>
    </xf>
    <xf numFmtId="2" fontId="32" fillId="48" borderId="0" xfId="0" applyNumberFormat="1" applyFont="1" applyFill="1"/>
    <xf numFmtId="0" fontId="45" fillId="0" borderId="0" xfId="340" applyFont="1" applyAlignment="1" applyProtection="1">
      <alignment vertical="center"/>
      <protection hidden="1"/>
    </xf>
    <xf numFmtId="14" fontId="32" fillId="0" borderId="0" xfId="0" applyNumberFormat="1" applyFont="1" applyAlignment="1">
      <alignment horizontal="left" vertical="center"/>
    </xf>
    <xf numFmtId="0" fontId="51" fillId="0" borderId="0" xfId="318" applyFont="1" applyAlignment="1">
      <alignment vertical="center"/>
    </xf>
    <xf numFmtId="0" fontId="33" fillId="0" borderId="0" xfId="0" applyFont="1" applyAlignment="1">
      <alignment vertical="center" wrapText="1"/>
    </xf>
    <xf numFmtId="0" fontId="87" fillId="0" borderId="0" xfId="0" applyFont="1" applyAlignment="1">
      <alignment vertical="center"/>
    </xf>
    <xf numFmtId="2" fontId="31" fillId="0" borderId="15" xfId="166" applyNumberFormat="1" applyFont="1" applyBorder="1" applyAlignment="1">
      <alignment horizontal="center" vertical="center" wrapText="1"/>
    </xf>
    <xf numFmtId="0" fontId="32" fillId="0" borderId="21" xfId="339" applyFont="1" applyBorder="1" applyAlignment="1">
      <alignment horizontal="center" vertical="center" wrapText="1"/>
    </xf>
    <xf numFmtId="0" fontId="32" fillId="0" borderId="18" xfId="339" applyFont="1" applyBorder="1" applyAlignment="1">
      <alignment horizontal="center" wrapText="1"/>
    </xf>
    <xf numFmtId="0" fontId="32" fillId="0" borderId="17" xfId="339" applyFont="1" applyBorder="1" applyAlignment="1">
      <alignment horizontal="center" vertical="center" wrapText="1"/>
    </xf>
    <xf numFmtId="0" fontId="32" fillId="0" borderId="15" xfId="339" applyFont="1" applyBorder="1" applyAlignment="1">
      <alignment horizontal="center" vertical="center" wrapText="1"/>
    </xf>
    <xf numFmtId="0" fontId="32" fillId="0" borderId="28" xfId="339" applyFont="1" applyBorder="1" applyAlignment="1">
      <alignment horizontal="center" vertical="center" wrapText="1"/>
    </xf>
    <xf numFmtId="0" fontId="32" fillId="0" borderId="0" xfId="339" applyFont="1" applyAlignment="1">
      <alignment horizontal="center" vertical="center" wrapText="1"/>
    </xf>
    <xf numFmtId="177" fontId="35" fillId="0" borderId="0" xfId="339" applyNumberFormat="1" applyFont="1" applyAlignment="1">
      <alignment vertical="center"/>
    </xf>
    <xf numFmtId="0" fontId="74" fillId="0" borderId="0" xfId="339" applyFont="1"/>
    <xf numFmtId="0" fontId="31" fillId="0" borderId="17" xfId="339" applyFont="1" applyBorder="1" applyAlignment="1">
      <alignment horizontal="center" vertical="center" wrapText="1"/>
    </xf>
    <xf numFmtId="0" fontId="32" fillId="0" borderId="10" xfId="339" applyFont="1" applyBorder="1" applyAlignment="1">
      <alignment horizontal="center" wrapText="1"/>
    </xf>
    <xf numFmtId="4" fontId="32" fillId="0" borderId="10" xfId="339" applyNumberFormat="1" applyFont="1" applyBorder="1" applyAlignment="1">
      <alignment horizontal="center" vertical="center" wrapText="1"/>
    </xf>
    <xf numFmtId="0" fontId="115" fillId="0" borderId="0" xfId="0" applyFont="1" applyAlignment="1" applyProtection="1">
      <alignment vertical="top" wrapText="1"/>
      <protection hidden="1"/>
    </xf>
    <xf numFmtId="0" fontId="65" fillId="0" borderId="35" xfId="0" applyFont="1" applyBorder="1"/>
    <xf numFmtId="0" fontId="31" fillId="0" borderId="35" xfId="0" applyFont="1" applyBorder="1" applyAlignment="1" applyProtection="1">
      <alignment horizontal="center" vertical="center" wrapText="1"/>
      <protection hidden="1"/>
    </xf>
    <xf numFmtId="2" fontId="32" fillId="0" borderId="35" xfId="0" applyNumberFormat="1" applyFont="1" applyBorder="1" applyAlignment="1" applyProtection="1">
      <alignment horizontal="center" vertical="center" wrapText="1"/>
      <protection hidden="1"/>
    </xf>
    <xf numFmtId="2" fontId="73" fillId="0" borderId="35" xfId="0" applyNumberFormat="1" applyFont="1" applyBorder="1" applyAlignment="1" applyProtection="1">
      <alignment horizontal="center" vertical="center" wrapText="1"/>
      <protection hidden="1"/>
    </xf>
    <xf numFmtId="0" fontId="27" fillId="0" borderId="35" xfId="0" applyFont="1" applyBorder="1" applyAlignment="1" applyProtection="1">
      <alignment horizontal="center" vertical="center" wrapText="1"/>
      <protection hidden="1"/>
    </xf>
    <xf numFmtId="4" fontId="32" fillId="0" borderId="35" xfId="0" applyNumberFormat="1" applyFont="1" applyBorder="1" applyAlignment="1" applyProtection="1">
      <alignment horizontal="center" vertical="center"/>
      <protection hidden="1"/>
    </xf>
    <xf numFmtId="0" fontId="32" fillId="0" borderId="35" xfId="0" applyFont="1" applyBorder="1" applyAlignment="1" applyProtection="1">
      <alignment horizontal="center" vertical="center" wrapText="1"/>
      <protection hidden="1"/>
    </xf>
    <xf numFmtId="3" fontId="35" fillId="0" borderId="35" xfId="0" applyNumberFormat="1" applyFont="1" applyBorder="1" applyAlignment="1" applyProtection="1">
      <alignment horizontal="center" vertical="center"/>
      <protection hidden="1"/>
    </xf>
    <xf numFmtId="0" fontId="59" fillId="0" borderId="11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177" fontId="27" fillId="0" borderId="0" xfId="0" applyNumberFormat="1" applyFont="1" applyAlignment="1">
      <alignment vertical="center"/>
    </xf>
    <xf numFmtId="0" fontId="32" fillId="55" borderId="0" xfId="0" applyFont="1" applyFill="1" applyAlignment="1">
      <alignment horizontal="center"/>
    </xf>
    <xf numFmtId="1" fontId="32" fillId="55" borderId="0" xfId="0" applyNumberFormat="1" applyFont="1" applyFill="1"/>
    <xf numFmtId="0" fontId="67" fillId="0" borderId="0" xfId="318" applyFont="1" applyAlignment="1">
      <alignment vertical="center"/>
    </xf>
    <xf numFmtId="0" fontId="32" fillId="0" borderId="0" xfId="318" applyFont="1" applyAlignment="1">
      <alignment vertical="center"/>
    </xf>
    <xf numFmtId="0" fontId="31" fillId="0" borderId="15" xfId="0" applyFont="1" applyBorder="1" applyAlignment="1" applyProtection="1">
      <alignment horizontal="center" vertical="center" wrapText="1"/>
      <protection hidden="1"/>
    </xf>
    <xf numFmtId="1" fontId="73" fillId="0" borderId="0" xfId="0" applyNumberFormat="1" applyFont="1" applyAlignment="1">
      <alignment horizontal="center" vertical="center"/>
    </xf>
    <xf numFmtId="1" fontId="33" fillId="52" borderId="0" xfId="0" applyNumberFormat="1" applyFont="1" applyFill="1" applyAlignment="1">
      <alignment vertical="center"/>
    </xf>
    <xf numFmtId="1" fontId="59" fillId="48" borderId="0" xfId="0" applyNumberFormat="1" applyFont="1" applyFill="1" applyAlignment="1">
      <alignment horizontal="right" vertical="center"/>
    </xf>
    <xf numFmtId="1" fontId="32" fillId="53" borderId="0" xfId="0" applyNumberFormat="1" applyFont="1" applyFill="1" applyAlignment="1" applyProtection="1">
      <alignment horizontal="right" vertical="center" wrapText="1"/>
      <protection hidden="1"/>
    </xf>
    <xf numFmtId="1" fontId="59" fillId="53" borderId="32" xfId="0" applyNumberFormat="1" applyFont="1" applyFill="1" applyBorder="1" applyAlignment="1">
      <alignment horizontal="right" vertical="center"/>
    </xf>
    <xf numFmtId="1" fontId="59" fillId="48" borderId="32" xfId="0" applyNumberFormat="1" applyFont="1" applyFill="1" applyBorder="1" applyAlignment="1">
      <alignment horizontal="right" vertical="center"/>
    </xf>
    <xf numFmtId="165" fontId="32" fillId="62" borderId="14" xfId="0" applyNumberFormat="1" applyFont="1" applyFill="1" applyBorder="1" applyAlignment="1" applyProtection="1">
      <alignment horizontal="center" vertical="center"/>
      <protection hidden="1"/>
    </xf>
    <xf numFmtId="0" fontId="73" fillId="62" borderId="14" xfId="0" applyFont="1" applyFill="1" applyBorder="1" applyAlignment="1" applyProtection="1">
      <alignment horizontal="center" vertical="center"/>
      <protection hidden="1"/>
    </xf>
    <xf numFmtId="0" fontId="32" fillId="62" borderId="14" xfId="0" applyFont="1" applyFill="1" applyBorder="1" applyAlignment="1" applyProtection="1">
      <alignment horizontal="center" vertical="center" wrapText="1"/>
      <protection hidden="1"/>
    </xf>
    <xf numFmtId="4" fontId="32" fillId="62" borderId="14" xfId="0" applyNumberFormat="1" applyFont="1" applyFill="1" applyBorder="1" applyAlignment="1" applyProtection="1">
      <alignment horizontal="center" vertical="center"/>
      <protection hidden="1"/>
    </xf>
    <xf numFmtId="1" fontId="59" fillId="63" borderId="0" xfId="0" applyNumberFormat="1" applyFont="1" applyFill="1" applyAlignment="1">
      <alignment horizontal="center" vertical="center"/>
    </xf>
    <xf numFmtId="2" fontId="59" fillId="0" borderId="11" xfId="0" applyNumberFormat="1" applyFont="1" applyBorder="1" applyAlignment="1">
      <alignment horizontal="center" vertical="center" wrapText="1"/>
    </xf>
    <xf numFmtId="2" fontId="59" fillId="0" borderId="12" xfId="0" applyNumberFormat="1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2" fontId="59" fillId="0" borderId="10" xfId="0" applyNumberFormat="1" applyFont="1" applyBorder="1" applyAlignment="1">
      <alignment horizontal="center" vertical="center" wrapText="1"/>
    </xf>
    <xf numFmtId="166" fontId="59" fillId="0" borderId="10" xfId="0" applyNumberFormat="1" applyFont="1" applyBorder="1" applyAlignment="1" applyProtection="1">
      <alignment horizontal="center" vertical="center" wrapText="1"/>
      <protection hidden="1"/>
    </xf>
    <xf numFmtId="2" fontId="59" fillId="0" borderId="17" xfId="0" applyNumberFormat="1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2" fontId="32" fillId="0" borderId="73" xfId="0" applyNumberFormat="1" applyFont="1" applyBorder="1" applyAlignment="1">
      <alignment horizontal="center" vertical="center" wrapText="1"/>
    </xf>
    <xf numFmtId="166" fontId="32" fillId="0" borderId="73" xfId="0" applyNumberFormat="1" applyFont="1" applyBorder="1" applyAlignment="1" applyProtection="1">
      <alignment horizontal="center" vertical="center" wrapText="1"/>
      <protection hidden="1"/>
    </xf>
    <xf numFmtId="2" fontId="32" fillId="0" borderId="73" xfId="0" applyNumberFormat="1" applyFont="1" applyBorder="1" applyAlignment="1">
      <alignment vertical="center" wrapText="1"/>
    </xf>
    <xf numFmtId="3" fontId="58" fillId="0" borderId="20" xfId="0" applyNumberFormat="1" applyFont="1" applyBorder="1" applyAlignment="1" applyProtection="1">
      <alignment horizontal="center" vertical="center"/>
      <protection hidden="1"/>
    </xf>
    <xf numFmtId="3" fontId="32" fillId="0" borderId="14" xfId="0" applyNumberFormat="1" applyFont="1" applyBorder="1" applyAlignment="1" applyProtection="1">
      <alignment horizontal="center" vertical="center"/>
      <protection hidden="1"/>
    </xf>
    <xf numFmtId="3" fontId="32" fillId="0" borderId="20" xfId="0" applyNumberFormat="1" applyFont="1" applyBorder="1" applyAlignment="1" applyProtection="1">
      <alignment horizontal="center" vertical="center"/>
      <protection hidden="1"/>
    </xf>
    <xf numFmtId="3" fontId="32" fillId="0" borderId="11" xfId="0" applyNumberFormat="1" applyFont="1" applyBorder="1" applyAlignment="1" applyProtection="1">
      <alignment horizontal="center" vertical="center"/>
      <protection hidden="1"/>
    </xf>
    <xf numFmtId="3" fontId="32" fillId="0" borderId="12" xfId="0" applyNumberFormat="1" applyFont="1" applyBorder="1" applyAlignment="1" applyProtection="1">
      <alignment horizontal="center" vertical="center"/>
      <protection hidden="1"/>
    </xf>
    <xf numFmtId="3" fontId="58" fillId="0" borderId="18" xfId="0" applyNumberFormat="1" applyFont="1" applyBorder="1" applyAlignment="1" applyProtection="1">
      <alignment horizontal="center" vertical="center"/>
      <protection hidden="1"/>
    </xf>
    <xf numFmtId="3" fontId="35" fillId="0" borderId="11" xfId="0" applyNumberFormat="1" applyFont="1" applyBorder="1" applyAlignment="1">
      <alignment horizontal="center" vertical="center"/>
    </xf>
    <xf numFmtId="3" fontId="35" fillId="0" borderId="14" xfId="0" applyNumberFormat="1" applyFont="1" applyBorder="1" applyAlignment="1">
      <alignment horizontal="center" vertical="center"/>
    </xf>
    <xf numFmtId="3" fontId="35" fillId="0" borderId="12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left" vertical="center" indent="1"/>
    </xf>
    <xf numFmtId="1" fontId="35" fillId="0" borderId="14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left" vertical="center" indent="1"/>
    </xf>
    <xf numFmtId="1" fontId="35" fillId="0" borderId="12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left" vertical="center" indent="2"/>
    </xf>
    <xf numFmtId="0" fontId="35" fillId="0" borderId="1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14" xfId="0" applyFont="1" applyBorder="1" applyAlignment="1">
      <alignment horizontal="left" vertical="center" indent="2"/>
    </xf>
    <xf numFmtId="0" fontId="35" fillId="0" borderId="12" xfId="0" applyFont="1" applyBorder="1" applyAlignment="1">
      <alignment horizontal="left" vertical="center" indent="2"/>
    </xf>
    <xf numFmtId="1" fontId="35" fillId="0" borderId="24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1" fontId="35" fillId="0" borderId="23" xfId="0" applyNumberFormat="1" applyFont="1" applyBorder="1" applyAlignment="1">
      <alignment horizontal="center" vertical="center" wrapText="1"/>
    </xf>
    <xf numFmtId="1" fontId="35" fillId="0" borderId="24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1" fillId="52" borderId="21" xfId="0" applyFont="1" applyFill="1" applyBorder="1" applyAlignment="1" applyProtection="1">
      <alignment horizontal="left" vertical="center" wrapText="1" indent="1"/>
      <protection hidden="1"/>
    </xf>
    <xf numFmtId="3" fontId="58" fillId="62" borderId="14" xfId="0" applyNumberFormat="1" applyFont="1" applyFill="1" applyBorder="1" applyAlignment="1" applyProtection="1">
      <alignment horizontal="center" vertical="center"/>
      <protection hidden="1"/>
    </xf>
    <xf numFmtId="0" fontId="13" fillId="0" borderId="35" xfId="0" applyFont="1" applyBorder="1"/>
    <xf numFmtId="0" fontId="13" fillId="0" borderId="25" xfId="0" applyFont="1" applyBorder="1"/>
    <xf numFmtId="0" fontId="32" fillId="0" borderId="25" xfId="0" applyFont="1" applyBorder="1"/>
    <xf numFmtId="0" fontId="35" fillId="0" borderId="0" xfId="0" applyFont="1"/>
    <xf numFmtId="0" fontId="31" fillId="0" borderId="35" xfId="0" applyFont="1" applyBorder="1" applyAlignment="1" applyProtection="1">
      <alignment vertical="center" wrapText="1"/>
      <protection hidden="1"/>
    </xf>
    <xf numFmtId="0" fontId="31" fillId="0" borderId="35" xfId="0" applyFont="1" applyBorder="1" applyAlignment="1" applyProtection="1">
      <alignment vertical="top" wrapText="1"/>
      <protection hidden="1"/>
    </xf>
    <xf numFmtId="2" fontId="65" fillId="53" borderId="0" xfId="0" applyNumberFormat="1" applyFont="1" applyFill="1"/>
    <xf numFmtId="0" fontId="130" fillId="48" borderId="0" xfId="0" applyFont="1" applyFill="1" applyAlignment="1">
      <alignment vertical="center"/>
    </xf>
    <xf numFmtId="0" fontId="131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/>
    </xf>
    <xf numFmtId="166" fontId="65" fillId="0" borderId="24" xfId="0" applyNumberFormat="1" applyFont="1" applyBorder="1" applyAlignment="1">
      <alignment horizontal="center" vertical="center"/>
    </xf>
    <xf numFmtId="0" fontId="68" fillId="62" borderId="18" xfId="0" applyFont="1" applyFill="1" applyBorder="1" applyAlignment="1" applyProtection="1">
      <alignment horizontal="center" vertical="center" wrapText="1"/>
      <protection hidden="1"/>
    </xf>
    <xf numFmtId="0" fontId="31" fillId="53" borderId="0" xfId="0" applyFont="1" applyFill="1" applyAlignment="1">
      <alignment vertical="center"/>
    </xf>
    <xf numFmtId="2" fontId="31" fillId="53" borderId="0" xfId="0" applyNumberFormat="1" applyFont="1" applyFill="1" applyAlignment="1">
      <alignment vertical="center"/>
    </xf>
    <xf numFmtId="0" fontId="31" fillId="53" borderId="0" xfId="0" applyFont="1" applyFill="1" applyAlignment="1">
      <alignment horizontal="center"/>
    </xf>
    <xf numFmtId="2" fontId="80" fillId="53" borderId="0" xfId="0" applyNumberFormat="1" applyFont="1" applyFill="1"/>
    <xf numFmtId="0" fontId="80" fillId="53" borderId="0" xfId="0" applyFont="1" applyFill="1" applyAlignment="1">
      <alignment vertical="center"/>
    </xf>
    <xf numFmtId="0" fontId="80" fillId="53" borderId="27" xfId="0" applyFont="1" applyFill="1" applyBorder="1" applyAlignment="1">
      <alignment vertical="center"/>
    </xf>
    <xf numFmtId="0" fontId="32" fillId="53" borderId="0" xfId="0" applyFont="1" applyFill="1" applyAlignment="1">
      <alignment horizontal="center"/>
    </xf>
    <xf numFmtId="0" fontId="31" fillId="53" borderId="0" xfId="0" applyFont="1" applyFill="1" applyAlignment="1">
      <alignment horizontal="right" vertical="center"/>
    </xf>
    <xf numFmtId="0" fontId="32" fillId="53" borderId="0" xfId="0" applyFont="1" applyFill="1" applyAlignment="1">
      <alignment horizontal="right" vertical="center"/>
    </xf>
    <xf numFmtId="0" fontId="46" fillId="53" borderId="0" xfId="0" applyFont="1" applyFill="1" applyAlignment="1">
      <alignment horizontal="right" vertical="center"/>
    </xf>
    <xf numFmtId="1" fontId="32" fillId="0" borderId="0" xfId="0" applyNumberFormat="1" applyFont="1" applyAlignment="1">
      <alignment horizontal="center" vertical="center"/>
    </xf>
    <xf numFmtId="0" fontId="80" fillId="53" borderId="0" xfId="0" applyFont="1" applyFill="1" applyAlignment="1">
      <alignment horizontal="center" vertical="center"/>
    </xf>
    <xf numFmtId="0" fontId="80" fillId="0" borderId="0" xfId="0" applyFont="1" applyAlignment="1">
      <alignment horizontal="center" vertical="center"/>
    </xf>
    <xf numFmtId="1" fontId="80" fillId="0" borderId="0" xfId="0" applyNumberFormat="1" applyFont="1" applyAlignment="1">
      <alignment vertical="center"/>
    </xf>
    <xf numFmtId="0" fontId="130" fillId="0" borderId="0" xfId="0" applyFont="1"/>
    <xf numFmtId="9" fontId="65" fillId="0" borderId="0" xfId="357" applyFont="1"/>
    <xf numFmtId="2" fontId="65" fillId="53" borderId="0" xfId="0" applyNumberFormat="1" applyFont="1" applyFill="1" applyAlignment="1">
      <alignment horizontal="center" vertical="center"/>
    </xf>
    <xf numFmtId="2" fontId="65" fillId="53" borderId="0" xfId="0" applyNumberFormat="1" applyFont="1" applyFill="1" applyAlignment="1">
      <alignment horizontal="center" vertical="center" wrapText="1"/>
    </xf>
    <xf numFmtId="2" fontId="65" fillId="53" borderId="0" xfId="0" applyNumberFormat="1" applyFont="1" applyFill="1" applyAlignment="1">
      <alignment vertical="center" wrapText="1"/>
    </xf>
    <xf numFmtId="0" fontId="34" fillId="0" borderId="0" xfId="0" applyFont="1" applyAlignment="1">
      <alignment horizontal="center" vertical="center"/>
    </xf>
    <xf numFmtId="1" fontId="65" fillId="0" borderId="0" xfId="0" applyNumberFormat="1" applyFont="1" applyAlignment="1">
      <alignment horizontal="center" vertical="center" wrapText="1"/>
    </xf>
    <xf numFmtId="1" fontId="65" fillId="0" borderId="0" xfId="0" applyNumberFormat="1" applyFont="1" applyAlignment="1">
      <alignment vertical="center" wrapText="1"/>
    </xf>
    <xf numFmtId="1" fontId="35" fillId="0" borderId="14" xfId="0" applyNumberFormat="1" applyFont="1" applyBorder="1" applyAlignment="1">
      <alignment horizontal="left" vertical="center" indent="2"/>
    </xf>
    <xf numFmtId="9" fontId="32" fillId="0" borderId="0" xfId="357" applyFont="1" applyAlignment="1">
      <alignment vertical="center"/>
    </xf>
    <xf numFmtId="1" fontId="65" fillId="0" borderId="0" xfId="0" applyNumberFormat="1" applyFont="1" applyAlignment="1">
      <alignment vertical="center"/>
    </xf>
    <xf numFmtId="1" fontId="130" fillId="0" borderId="0" xfId="0" applyNumberFormat="1" applyFont="1"/>
    <xf numFmtId="3" fontId="31" fillId="0" borderId="0" xfId="0" applyNumberFormat="1" applyFont="1" applyAlignment="1">
      <alignment horizontal="center" vertical="center" wrapText="1"/>
    </xf>
    <xf numFmtId="2" fontId="65" fillId="48" borderId="0" xfId="0" applyNumberFormat="1" applyFont="1" applyFill="1" applyAlignment="1">
      <alignment vertical="center"/>
    </xf>
    <xf numFmtId="0" fontId="65" fillId="0" borderId="17" xfId="0" applyFont="1" applyBorder="1" applyAlignment="1">
      <alignment horizontal="right"/>
    </xf>
    <xf numFmtId="0" fontId="31" fillId="62" borderId="17" xfId="0" applyFont="1" applyFill="1" applyBorder="1" applyAlignment="1" applyProtection="1">
      <alignment vertical="center" wrapText="1"/>
      <protection hidden="1"/>
    </xf>
    <xf numFmtId="2" fontId="32" fillId="0" borderId="16" xfId="0" applyNumberFormat="1" applyFont="1" applyBorder="1" applyAlignment="1" applyProtection="1">
      <alignment horizontal="center" vertical="center" wrapText="1"/>
      <protection hidden="1"/>
    </xf>
    <xf numFmtId="1" fontId="32" fillId="58" borderId="16" xfId="0" applyNumberFormat="1" applyFont="1" applyFill="1" applyBorder="1" applyAlignment="1" applyProtection="1">
      <alignment horizontal="center" vertical="center" wrapText="1"/>
      <protection hidden="1"/>
    </xf>
    <xf numFmtId="0" fontId="73" fillId="0" borderId="12" xfId="0" applyFont="1" applyBorder="1" applyAlignment="1" applyProtection="1">
      <alignment horizontal="center" vertical="center" wrapText="1"/>
      <protection hidden="1"/>
    </xf>
    <xf numFmtId="1" fontId="32" fillId="58" borderId="12" xfId="0" applyNumberFormat="1" applyFont="1" applyFill="1" applyBorder="1" applyAlignment="1" applyProtection="1">
      <alignment horizontal="center" vertical="center" wrapText="1"/>
      <protection hidden="1"/>
    </xf>
    <xf numFmtId="2" fontId="32" fillId="0" borderId="0" xfId="0" applyNumberFormat="1" applyFont="1" applyAlignment="1" applyProtection="1">
      <alignment horizontal="center" vertical="center" wrapText="1"/>
      <protection hidden="1"/>
    </xf>
    <xf numFmtId="2" fontId="73" fillId="0" borderId="0" xfId="0" applyNumberFormat="1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4" fontId="32" fillId="0" borderId="0" xfId="0" applyNumberFormat="1" applyFont="1" applyAlignment="1" applyProtection="1">
      <alignment horizontal="center" vertical="center"/>
      <protection hidden="1"/>
    </xf>
    <xf numFmtId="0" fontId="73" fillId="0" borderId="16" xfId="0" applyFont="1" applyBorder="1" applyAlignment="1" applyProtection="1">
      <alignment horizontal="center" vertical="center" wrapText="1"/>
      <protection hidden="1"/>
    </xf>
    <xf numFmtId="3" fontId="58" fillId="62" borderId="10" xfId="0" applyNumberFormat="1" applyFont="1" applyFill="1" applyBorder="1" applyAlignment="1" applyProtection="1">
      <alignment horizontal="center" vertical="center"/>
      <protection hidden="1"/>
    </xf>
    <xf numFmtId="3" fontId="32" fillId="0" borderId="37" xfId="0" applyNumberFormat="1" applyFont="1" applyBorder="1" applyAlignment="1" applyProtection="1">
      <alignment horizontal="center" vertical="center"/>
      <protection hidden="1"/>
    </xf>
    <xf numFmtId="3" fontId="35" fillId="0" borderId="17" xfId="339" applyNumberFormat="1" applyFont="1" applyBorder="1" applyAlignment="1">
      <alignment horizontal="center" vertical="center" wrapText="1"/>
    </xf>
    <xf numFmtId="3" fontId="35" fillId="0" borderId="26" xfId="339" applyNumberFormat="1" applyFont="1" applyBorder="1" applyAlignment="1">
      <alignment horizontal="center" vertical="center" wrapText="1"/>
    </xf>
    <xf numFmtId="3" fontId="35" fillId="0" borderId="15" xfId="339" applyNumberFormat="1" applyFont="1" applyBorder="1" applyAlignment="1">
      <alignment horizontal="center" vertical="center" wrapText="1"/>
    </xf>
    <xf numFmtId="3" fontId="35" fillId="0" borderId="10" xfId="339" applyNumberFormat="1" applyFont="1" applyBorder="1" applyAlignment="1">
      <alignment horizontal="center" vertical="center" wrapText="1"/>
    </xf>
    <xf numFmtId="3" fontId="35" fillId="0" borderId="10" xfId="339" applyNumberFormat="1" applyFont="1" applyBorder="1" applyAlignment="1">
      <alignment horizontal="center" vertical="center"/>
    </xf>
    <xf numFmtId="3" fontId="35" fillId="0" borderId="17" xfId="339" applyNumberFormat="1" applyFont="1" applyBorder="1" applyAlignment="1">
      <alignment horizontal="center" vertical="center"/>
    </xf>
    <xf numFmtId="1" fontId="59" fillId="48" borderId="32" xfId="0" applyNumberFormat="1" applyFont="1" applyFill="1" applyBorder="1" applyAlignment="1">
      <alignment vertical="center"/>
    </xf>
    <xf numFmtId="0" fontId="115" fillId="0" borderId="0" xfId="0" applyFont="1" applyAlignment="1" applyProtection="1">
      <alignment vertical="center"/>
      <protection hidden="1"/>
    </xf>
    <xf numFmtId="1" fontId="132" fillId="48" borderId="14" xfId="0" applyNumberFormat="1" applyFont="1" applyFill="1" applyBorder="1" applyAlignment="1" applyProtection="1">
      <alignment horizontal="center" vertical="center" wrapText="1"/>
      <protection hidden="1"/>
    </xf>
    <xf numFmtId="1" fontId="34" fillId="48" borderId="11" xfId="0" applyNumberFormat="1" applyFont="1" applyFill="1" applyBorder="1" applyAlignment="1" applyProtection="1">
      <alignment horizontal="center" vertical="center" wrapText="1"/>
      <protection hidden="1"/>
    </xf>
    <xf numFmtId="1" fontId="132" fillId="48" borderId="12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 vertical="center"/>
      <protection hidden="1"/>
    </xf>
    <xf numFmtId="1" fontId="132" fillId="54" borderId="14" xfId="0" applyNumberFormat="1" applyFont="1" applyFill="1" applyBorder="1" applyAlignment="1" applyProtection="1">
      <alignment horizontal="center" vertical="center" wrapText="1"/>
      <protection hidden="1"/>
    </xf>
    <xf numFmtId="4" fontId="31" fillId="53" borderId="0" xfId="0" applyNumberFormat="1" applyFont="1" applyFill="1" applyAlignment="1">
      <alignment vertical="center"/>
    </xf>
    <xf numFmtId="4" fontId="133" fillId="53" borderId="0" xfId="0" applyNumberFormat="1" applyFont="1" applyFill="1" applyAlignment="1">
      <alignment vertical="center"/>
    </xf>
    <xf numFmtId="0" fontId="32" fillId="0" borderId="29" xfId="0" applyFont="1" applyBorder="1"/>
    <xf numFmtId="0" fontId="32" fillId="0" borderId="32" xfId="0" applyFont="1" applyBorder="1"/>
    <xf numFmtId="0" fontId="35" fillId="0" borderId="32" xfId="0" applyFont="1" applyBorder="1"/>
    <xf numFmtId="0" fontId="69" fillId="0" borderId="27" xfId="0" applyFont="1" applyBorder="1" applyAlignment="1">
      <alignment vertical="top"/>
    </xf>
    <xf numFmtId="0" fontId="31" fillId="0" borderId="35" xfId="0" applyFont="1" applyBorder="1" applyAlignment="1" applyProtection="1">
      <alignment horizontal="left" vertical="center"/>
      <protection hidden="1"/>
    </xf>
    <xf numFmtId="0" fontId="134" fillId="52" borderId="0" xfId="0" applyFont="1" applyFill="1" applyAlignment="1" applyProtection="1">
      <alignment horizontal="center" vertical="center" wrapText="1"/>
      <protection hidden="1"/>
    </xf>
    <xf numFmtId="0" fontId="91" fillId="55" borderId="0" xfId="0" applyFont="1" applyFill="1" applyAlignment="1">
      <alignment horizontal="center" vertical="center"/>
    </xf>
    <xf numFmtId="1" fontId="134" fillId="52" borderId="0" xfId="0" applyNumberFormat="1" applyFont="1" applyFill="1" applyAlignment="1" applyProtection="1">
      <alignment horizontal="center" vertical="center" wrapText="1"/>
      <protection hidden="1"/>
    </xf>
    <xf numFmtId="1" fontId="68" fillId="52" borderId="0" xfId="0" applyNumberFormat="1" applyFont="1" applyFill="1" applyAlignment="1" applyProtection="1">
      <alignment horizontal="center" vertical="center" wrapText="1"/>
      <protection hidden="1"/>
    </xf>
    <xf numFmtId="0" fontId="65" fillId="0" borderId="0" xfId="0" applyFont="1" applyAlignment="1">
      <alignment horizontal="center" vertical="center"/>
    </xf>
    <xf numFmtId="3" fontId="54" fillId="0" borderId="0" xfId="0" applyNumberFormat="1" applyFont="1" applyAlignment="1" applyProtection="1">
      <alignment horizontal="center" vertical="center"/>
      <protection hidden="1"/>
    </xf>
    <xf numFmtId="0" fontId="55" fillId="0" borderId="0" xfId="0" applyFont="1" applyAlignment="1">
      <alignment horizontal="center" vertical="center" wrapText="1"/>
    </xf>
    <xf numFmtId="0" fontId="31" fillId="55" borderId="17" xfId="318" applyFont="1" applyFill="1" applyBorder="1" applyAlignment="1" applyProtection="1">
      <alignment horizontal="center" vertical="center" wrapText="1"/>
      <protection hidden="1"/>
    </xf>
    <xf numFmtId="0" fontId="32" fillId="0" borderId="24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2" fontId="73" fillId="0" borderId="0" xfId="0" applyNumberFormat="1" applyFont="1" applyAlignment="1">
      <alignment horizontal="center" vertical="center"/>
    </xf>
    <xf numFmtId="2" fontId="73" fillId="0" borderId="0" xfId="0" applyNumberFormat="1" applyFont="1" applyAlignment="1">
      <alignment horizontal="left"/>
    </xf>
    <xf numFmtId="2" fontId="73" fillId="52" borderId="0" xfId="0" applyNumberFormat="1" applyFont="1" applyFill="1" applyAlignment="1">
      <alignment horizontal="right"/>
    </xf>
    <xf numFmtId="3" fontId="108" fillId="0" borderId="11" xfId="0" applyNumberFormat="1" applyFont="1" applyBorder="1" applyAlignment="1" applyProtection="1">
      <alignment horizontal="center" vertical="center" wrapText="1"/>
      <protection hidden="1"/>
    </xf>
    <xf numFmtId="3" fontId="108" fillId="52" borderId="11" xfId="0" applyNumberFormat="1" applyFont="1" applyFill="1" applyBorder="1" applyAlignment="1" applyProtection="1">
      <alignment horizontal="center" vertical="center" wrapText="1"/>
      <protection hidden="1"/>
    </xf>
    <xf numFmtId="3" fontId="108" fillId="0" borderId="14" xfId="0" applyNumberFormat="1" applyFont="1" applyBorder="1" applyAlignment="1" applyProtection="1">
      <alignment horizontal="center" vertical="center" wrapText="1"/>
      <protection hidden="1"/>
    </xf>
    <xf numFmtId="3" fontId="108" fillId="52" borderId="14" xfId="0" applyNumberFormat="1" applyFont="1" applyFill="1" applyBorder="1" applyAlignment="1" applyProtection="1">
      <alignment horizontal="center" vertical="center" wrapText="1"/>
      <protection hidden="1"/>
    </xf>
    <xf numFmtId="3" fontId="108" fillId="54" borderId="14" xfId="0" applyNumberFormat="1" applyFont="1" applyFill="1" applyBorder="1" applyAlignment="1" applyProtection="1">
      <alignment horizontal="center" vertical="center" wrapText="1"/>
      <protection hidden="1"/>
    </xf>
    <xf numFmtId="3" fontId="108" fillId="0" borderId="12" xfId="0" applyNumberFormat="1" applyFont="1" applyBorder="1" applyAlignment="1" applyProtection="1">
      <alignment horizontal="center" vertical="center" wrapText="1"/>
      <protection hidden="1"/>
    </xf>
    <xf numFmtId="3" fontId="108" fillId="52" borderId="12" xfId="0" applyNumberFormat="1" applyFont="1" applyFill="1" applyBorder="1" applyAlignment="1" applyProtection="1">
      <alignment horizontal="center" vertical="center" wrapText="1"/>
      <protection hidden="1"/>
    </xf>
    <xf numFmtId="0" fontId="32" fillId="53" borderId="0" xfId="0" applyFont="1" applyFill="1" applyAlignment="1">
      <alignment horizontal="center" vertical="center"/>
    </xf>
    <xf numFmtId="0" fontId="34" fillId="0" borderId="0" xfId="318" applyFont="1" applyAlignment="1">
      <alignment vertical="center"/>
    </xf>
    <xf numFmtId="0" fontId="34" fillId="0" borderId="0" xfId="318" applyFont="1" applyAlignment="1">
      <alignment vertical="center" wrapText="1"/>
    </xf>
    <xf numFmtId="0" fontId="52" fillId="0" borderId="0" xfId="341" applyFont="1" applyAlignment="1">
      <alignment horizontal="center" vertical="center" wrapText="1"/>
    </xf>
    <xf numFmtId="9" fontId="78" fillId="0" borderId="10" xfId="358" applyFont="1" applyBorder="1" applyAlignment="1">
      <alignment horizontal="center" vertical="center"/>
    </xf>
    <xf numFmtId="0" fontId="123" fillId="47" borderId="21" xfId="341" applyFont="1" applyFill="1" applyBorder="1" applyAlignment="1">
      <alignment horizontal="center" vertical="center" wrapText="1"/>
    </xf>
    <xf numFmtId="0" fontId="31" fillId="58" borderId="27" xfId="0" applyFont="1" applyFill="1" applyBorder="1" applyAlignment="1" applyProtection="1">
      <alignment horizontal="left" vertical="center" wrapText="1" indent="1"/>
      <protection hidden="1"/>
    </xf>
    <xf numFmtId="2" fontId="142" fillId="53" borderId="0" xfId="318" applyNumberFormat="1" applyFont="1" applyFill="1" applyAlignment="1">
      <alignment horizontal="right"/>
    </xf>
    <xf numFmtId="0" fontId="3" fillId="53" borderId="0" xfId="318" applyFill="1"/>
    <xf numFmtId="0" fontId="67" fillId="53" borderId="0" xfId="318" applyFont="1" applyFill="1" applyAlignment="1">
      <alignment vertical="center"/>
    </xf>
    <xf numFmtId="0" fontId="3" fillId="53" borderId="0" xfId="318" applyFill="1" applyAlignment="1">
      <alignment vertical="center"/>
    </xf>
    <xf numFmtId="0" fontId="73" fillId="0" borderId="13" xfId="0" applyFont="1" applyBorder="1" applyAlignment="1" applyProtection="1">
      <alignment horizontal="center" vertical="center"/>
      <protection hidden="1"/>
    </xf>
    <xf numFmtId="0" fontId="73" fillId="0" borderId="19" xfId="0" applyFont="1" applyBorder="1" applyAlignment="1" applyProtection="1">
      <alignment horizontal="center" vertical="center"/>
      <protection hidden="1"/>
    </xf>
    <xf numFmtId="0" fontId="73" fillId="0" borderId="21" xfId="0" applyFont="1" applyBorder="1" applyAlignment="1" applyProtection="1">
      <alignment horizontal="center" vertical="center"/>
      <protection hidden="1"/>
    </xf>
    <xf numFmtId="0" fontId="119" fillId="47" borderId="21" xfId="0" applyFont="1" applyFill="1" applyBorder="1" applyAlignment="1">
      <alignment horizontal="center" vertical="center" wrapText="1"/>
    </xf>
    <xf numFmtId="9" fontId="43" fillId="0" borderId="21" xfId="357" applyFont="1" applyBorder="1" applyAlignment="1">
      <alignment horizontal="center" vertical="center"/>
    </xf>
    <xf numFmtId="0" fontId="119" fillId="0" borderId="0" xfId="0" applyFont="1" applyAlignment="1">
      <alignment vertical="center" wrapText="1"/>
    </xf>
    <xf numFmtId="9" fontId="43" fillId="0" borderId="0" xfId="357" applyFont="1" applyFill="1" applyBorder="1" applyAlignment="1">
      <alignment vertical="center"/>
    </xf>
    <xf numFmtId="0" fontId="119" fillId="47" borderId="17" xfId="0" applyFont="1" applyFill="1" applyBorder="1" applyAlignment="1">
      <alignment horizontal="center" vertical="center" wrapText="1"/>
    </xf>
    <xf numFmtId="0" fontId="29" fillId="0" borderId="32" xfId="0" applyFont="1" applyBorder="1"/>
    <xf numFmtId="0" fontId="31" fillId="0" borderId="18" xfId="0" applyFont="1" applyBorder="1" applyAlignment="1" applyProtection="1">
      <alignment horizontal="center" vertical="center" wrapText="1"/>
      <protection hidden="1"/>
    </xf>
    <xf numFmtId="3" fontId="32" fillId="0" borderId="18" xfId="0" applyNumberFormat="1" applyFont="1" applyBorder="1" applyAlignment="1" applyProtection="1">
      <alignment horizontal="center" vertical="center"/>
      <protection hidden="1"/>
    </xf>
    <xf numFmtId="0" fontId="34" fillId="0" borderId="18" xfId="0" applyFont="1" applyBorder="1" applyAlignment="1" applyProtection="1">
      <alignment horizontal="center" vertical="center" wrapText="1"/>
      <protection hidden="1"/>
    </xf>
    <xf numFmtId="166" fontId="32" fillId="0" borderId="18" xfId="0" applyNumberFormat="1" applyFont="1" applyBorder="1" applyAlignment="1" applyProtection="1">
      <alignment horizontal="center" vertical="center"/>
      <protection hidden="1"/>
    </xf>
    <xf numFmtId="4" fontId="32" fillId="0" borderId="18" xfId="0" applyNumberFormat="1" applyFont="1" applyBorder="1" applyAlignment="1" applyProtection="1">
      <alignment horizontal="center" vertical="center"/>
      <protection hidden="1"/>
    </xf>
    <xf numFmtId="0" fontId="31" fillId="64" borderId="10" xfId="0" applyFont="1" applyFill="1" applyBorder="1" applyAlignment="1" applyProtection="1">
      <alignment horizontal="center" vertical="center" wrapText="1"/>
      <protection hidden="1"/>
    </xf>
    <xf numFmtId="3" fontId="31" fillId="64" borderId="10" xfId="0" applyNumberFormat="1" applyFont="1" applyFill="1" applyBorder="1" applyAlignment="1" applyProtection="1">
      <alignment horizontal="center" vertical="center" wrapText="1"/>
      <protection hidden="1"/>
    </xf>
    <xf numFmtId="3" fontId="32" fillId="58" borderId="18" xfId="0" applyNumberFormat="1" applyFont="1" applyFill="1" applyBorder="1" applyAlignment="1" applyProtection="1">
      <alignment horizontal="center" vertical="center"/>
      <protection hidden="1"/>
    </xf>
    <xf numFmtId="3" fontId="32" fillId="52" borderId="10" xfId="0" applyNumberFormat="1" applyFont="1" applyFill="1" applyBorder="1" applyAlignment="1" applyProtection="1">
      <alignment horizontal="center" vertical="center"/>
      <protection hidden="1"/>
    </xf>
    <xf numFmtId="0" fontId="59" fillId="53" borderId="0" xfId="0" applyFont="1" applyFill="1" applyAlignment="1">
      <alignment horizontal="right" vertical="center"/>
    </xf>
    <xf numFmtId="2" fontId="31" fillId="62" borderId="18" xfId="0" applyNumberFormat="1" applyFont="1" applyFill="1" applyBorder="1" applyAlignment="1">
      <alignment horizontal="center" vertical="center" wrapText="1"/>
    </xf>
    <xf numFmtId="0" fontId="59" fillId="62" borderId="18" xfId="0" applyFont="1" applyFill="1" applyBorder="1" applyAlignment="1">
      <alignment horizontal="center" vertical="center" wrapText="1"/>
    </xf>
    <xf numFmtId="2" fontId="59" fillId="62" borderId="18" xfId="0" applyNumberFormat="1" applyFont="1" applyFill="1" applyBorder="1" applyAlignment="1">
      <alignment horizontal="center" vertical="center" wrapText="1"/>
    </xf>
    <xf numFmtId="166" fontId="59" fillId="62" borderId="18" xfId="0" applyNumberFormat="1" applyFont="1" applyFill="1" applyBorder="1" applyAlignment="1" applyProtection="1">
      <alignment horizontal="center" vertical="center" wrapText="1"/>
      <protection hidden="1"/>
    </xf>
    <xf numFmtId="166" fontId="59" fillId="62" borderId="15" xfId="0" applyNumberFormat="1" applyFont="1" applyFill="1" applyBorder="1" applyAlignment="1" applyProtection="1">
      <alignment horizontal="center" vertical="center" wrapText="1"/>
      <protection hidden="1"/>
    </xf>
    <xf numFmtId="2" fontId="59" fillId="62" borderId="11" xfId="0" applyNumberFormat="1" applyFont="1" applyFill="1" applyBorder="1" applyAlignment="1">
      <alignment horizontal="center" vertical="center" wrapText="1"/>
    </xf>
    <xf numFmtId="166" fontId="59" fillId="62" borderId="11" xfId="0" applyNumberFormat="1" applyFont="1" applyFill="1" applyBorder="1" applyAlignment="1" applyProtection="1">
      <alignment horizontal="center" vertical="center" wrapText="1"/>
      <protection hidden="1"/>
    </xf>
    <xf numFmtId="2" fontId="32" fillId="62" borderId="18" xfId="0" applyNumberFormat="1" applyFont="1" applyFill="1" applyBorder="1" applyAlignment="1">
      <alignment horizontal="center" vertical="center" wrapText="1"/>
    </xf>
    <xf numFmtId="2" fontId="32" fillId="62" borderId="11" xfId="0" applyNumberFormat="1" applyFont="1" applyFill="1" applyBorder="1" applyAlignment="1">
      <alignment horizontal="center" vertical="center" wrapText="1"/>
    </xf>
    <xf numFmtId="166" fontId="32" fillId="62" borderId="18" xfId="0" applyNumberFormat="1" applyFont="1" applyFill="1" applyBorder="1" applyAlignment="1">
      <alignment horizontal="center" vertical="center" wrapText="1"/>
    </xf>
    <xf numFmtId="166" fontId="32" fillId="62" borderId="11" xfId="0" applyNumberFormat="1" applyFont="1" applyFill="1" applyBorder="1" applyAlignment="1">
      <alignment horizontal="center" vertical="center" wrapText="1"/>
    </xf>
    <xf numFmtId="2" fontId="33" fillId="0" borderId="0" xfId="0" applyNumberFormat="1" applyFont="1" applyAlignment="1">
      <alignment vertical="center"/>
    </xf>
    <xf numFmtId="3" fontId="73" fillId="0" borderId="17" xfId="0" applyNumberFormat="1" applyFont="1" applyBorder="1" applyAlignment="1" applyProtection="1">
      <alignment horizontal="center" vertical="center" wrapText="1"/>
      <protection hidden="1"/>
    </xf>
    <xf numFmtId="3" fontId="73" fillId="0" borderId="1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 applyProtection="1">
      <alignment horizontal="left" vertical="top" wrapText="1"/>
      <protection hidden="1"/>
    </xf>
    <xf numFmtId="0" fontId="68" fillId="0" borderId="0" xfId="0" applyFont="1" applyAlignment="1">
      <alignment horizontal="center" vertical="center" wrapText="1"/>
    </xf>
    <xf numFmtId="3" fontId="31" fillId="0" borderId="32" xfId="0" applyNumberFormat="1" applyFont="1" applyBorder="1" applyAlignment="1" applyProtection="1">
      <alignment horizontal="center" vertical="center" wrapText="1"/>
      <protection hidden="1"/>
    </xf>
    <xf numFmtId="3" fontId="108" fillId="0" borderId="32" xfId="0" applyNumberFormat="1" applyFont="1" applyBorder="1" applyAlignment="1" applyProtection="1">
      <alignment horizontal="center" vertical="center" wrapText="1"/>
      <protection hidden="1"/>
    </xf>
    <xf numFmtId="3" fontId="73" fillId="0" borderId="28" xfId="0" applyNumberFormat="1" applyFont="1" applyBorder="1" applyAlignment="1" applyProtection="1">
      <alignment horizontal="center" vertical="center" wrapText="1"/>
      <protection hidden="1"/>
    </xf>
    <xf numFmtId="0" fontId="68" fillId="55" borderId="10" xfId="0" applyFont="1" applyFill="1" applyBorder="1" applyAlignment="1">
      <alignment vertical="center" wrapText="1"/>
    </xf>
    <xf numFmtId="3" fontId="32" fillId="0" borderId="17" xfId="0" applyNumberFormat="1" applyFont="1" applyBorder="1" applyAlignment="1" applyProtection="1">
      <alignment horizontal="center" vertical="center"/>
      <protection hidden="1"/>
    </xf>
    <xf numFmtId="0" fontId="97" fillId="53" borderId="0" xfId="318" applyFont="1" applyFill="1" applyAlignment="1">
      <alignment vertical="center"/>
    </xf>
    <xf numFmtId="2" fontId="97" fillId="53" borderId="0" xfId="318" applyNumberFormat="1" applyFont="1" applyFill="1" applyAlignment="1">
      <alignment horizontal="center" vertical="center"/>
    </xf>
    <xf numFmtId="3" fontId="35" fillId="0" borderId="11" xfId="0" applyNumberFormat="1" applyFont="1" applyBorder="1" applyAlignment="1" applyProtection="1">
      <alignment horizontal="center" vertical="center" wrapText="1"/>
      <protection hidden="1"/>
    </xf>
    <xf numFmtId="3" fontId="35" fillId="52" borderId="11" xfId="0" applyNumberFormat="1" applyFont="1" applyFill="1" applyBorder="1" applyAlignment="1" applyProtection="1">
      <alignment horizontal="center" vertical="center" wrapText="1"/>
      <protection hidden="1"/>
    </xf>
    <xf numFmtId="3" fontId="35" fillId="0" borderId="14" xfId="0" applyNumberFormat="1" applyFont="1" applyBorder="1" applyAlignment="1" applyProtection="1">
      <alignment horizontal="center" vertical="center" wrapText="1"/>
      <protection hidden="1"/>
    </xf>
    <xf numFmtId="3" fontId="35" fillId="52" borderId="14" xfId="0" applyNumberFormat="1" applyFont="1" applyFill="1" applyBorder="1" applyAlignment="1" applyProtection="1">
      <alignment horizontal="center" vertical="center" wrapText="1"/>
      <protection hidden="1"/>
    </xf>
    <xf numFmtId="3" fontId="32" fillId="54" borderId="14" xfId="0" applyNumberFormat="1" applyFont="1" applyFill="1" applyBorder="1" applyAlignment="1" applyProtection="1">
      <alignment horizontal="center" vertical="center" wrapText="1"/>
      <protection hidden="1"/>
    </xf>
    <xf numFmtId="3" fontId="35" fillId="0" borderId="12" xfId="0" applyNumberFormat="1" applyFont="1" applyBorder="1" applyAlignment="1" applyProtection="1">
      <alignment horizontal="center" vertical="center" wrapText="1"/>
      <protection hidden="1"/>
    </xf>
    <xf numFmtId="3" fontId="35" fillId="52" borderId="12" xfId="0" applyNumberFormat="1" applyFont="1" applyFill="1" applyBorder="1" applyAlignment="1" applyProtection="1">
      <alignment horizontal="center" vertical="center" wrapText="1"/>
      <protection hidden="1"/>
    </xf>
    <xf numFmtId="3" fontId="32" fillId="0" borderId="11" xfId="0" applyNumberFormat="1" applyFont="1" applyBorder="1" applyAlignment="1" applyProtection="1">
      <alignment horizontal="center" vertical="center" wrapText="1"/>
      <protection hidden="1"/>
    </xf>
    <xf numFmtId="3" fontId="32" fillId="0" borderId="14" xfId="0" applyNumberFormat="1" applyFont="1" applyBorder="1" applyAlignment="1" applyProtection="1">
      <alignment horizontal="center" vertical="center" wrapText="1"/>
      <protection hidden="1"/>
    </xf>
    <xf numFmtId="3" fontId="32" fillId="0" borderId="16" xfId="0" applyNumberFormat="1" applyFont="1" applyBorder="1" applyAlignment="1" applyProtection="1">
      <alignment horizontal="center" vertical="center" wrapText="1"/>
      <protection hidden="1"/>
    </xf>
    <xf numFmtId="3" fontId="32" fillId="0" borderId="12" xfId="0" applyNumberFormat="1" applyFont="1" applyBorder="1" applyAlignment="1" applyProtection="1">
      <alignment horizontal="center" vertical="center" wrapText="1"/>
      <protection hidden="1"/>
    </xf>
    <xf numFmtId="0" fontId="31" fillId="0" borderId="29" xfId="0" applyFont="1" applyBorder="1" applyAlignment="1" applyProtection="1">
      <alignment vertical="center" wrapText="1"/>
      <protection hidden="1"/>
    </xf>
    <xf numFmtId="0" fontId="120" fillId="0" borderId="0" xfId="0" applyFont="1" applyAlignment="1">
      <alignment horizontal="center" vertical="center"/>
    </xf>
    <xf numFmtId="166" fontId="32" fillId="0" borderId="16" xfId="318" applyNumberFormat="1" applyFont="1" applyBorder="1" applyAlignment="1" applyProtection="1">
      <alignment horizontal="center" vertical="center"/>
      <protection hidden="1"/>
    </xf>
    <xf numFmtId="4" fontId="32" fillId="0" borderId="16" xfId="318" applyNumberFormat="1" applyFont="1" applyBorder="1" applyAlignment="1" applyProtection="1">
      <alignment horizontal="center" vertical="center"/>
      <protection hidden="1"/>
    </xf>
    <xf numFmtId="2" fontId="32" fillId="53" borderId="1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/>
    </xf>
    <xf numFmtId="166" fontId="59" fillId="0" borderId="18" xfId="0" applyNumberFormat="1" applyFont="1" applyBorder="1" applyAlignment="1" applyProtection="1">
      <alignment horizontal="center" vertical="center" wrapText="1"/>
      <protection hidden="1"/>
    </xf>
    <xf numFmtId="0" fontId="59" fillId="0" borderId="18" xfId="0" applyFont="1" applyBorder="1" applyAlignment="1">
      <alignment horizontal="center" vertical="center" wrapText="1"/>
    </xf>
    <xf numFmtId="2" fontId="59" fillId="0" borderId="18" xfId="0" applyNumberFormat="1" applyFont="1" applyBorder="1" applyAlignment="1">
      <alignment horizontal="center" vertical="center" wrapText="1"/>
    </xf>
    <xf numFmtId="165" fontId="59" fillId="0" borderId="18" xfId="0" applyNumberFormat="1" applyFont="1" applyBorder="1" applyAlignment="1">
      <alignment horizontal="center" vertical="center" wrapText="1"/>
    </xf>
    <xf numFmtId="2" fontId="31" fillId="0" borderId="18" xfId="0" applyNumberFormat="1" applyFont="1" applyBorder="1" applyAlignment="1">
      <alignment horizontal="center" vertical="center" wrapText="1"/>
    </xf>
    <xf numFmtId="0" fontId="31" fillId="0" borderId="17" xfId="314" applyFont="1" applyBorder="1" applyAlignment="1" applyProtection="1">
      <alignment horizontal="center" vertical="center" wrapText="1"/>
      <protection hidden="1"/>
    </xf>
    <xf numFmtId="2" fontId="32" fillId="0" borderId="17" xfId="318" applyNumberFormat="1" applyFont="1" applyBorder="1" applyAlignment="1" applyProtection="1">
      <alignment horizontal="center" vertical="center"/>
      <protection hidden="1"/>
    </xf>
    <xf numFmtId="1" fontId="32" fillId="0" borderId="17" xfId="318" applyNumberFormat="1" applyFont="1" applyBorder="1" applyAlignment="1" applyProtection="1">
      <alignment horizontal="center" vertical="center" wrapText="1"/>
      <protection hidden="1"/>
    </xf>
    <xf numFmtId="0" fontId="32" fillId="0" borderId="17" xfId="318" applyFont="1" applyBorder="1" applyAlignment="1" applyProtection="1">
      <alignment horizontal="center" vertical="center" wrapText="1"/>
      <protection hidden="1"/>
    </xf>
    <xf numFmtId="1" fontId="73" fillId="52" borderId="32" xfId="0" applyNumberFormat="1" applyFont="1" applyFill="1" applyBorder="1" applyAlignment="1">
      <alignment horizontal="center" vertical="center"/>
    </xf>
    <xf numFmtId="3" fontId="32" fillId="0" borderId="15" xfId="0" applyNumberFormat="1" applyFont="1" applyBorder="1" applyAlignment="1" applyProtection="1">
      <alignment horizontal="center" vertical="center"/>
      <protection hidden="1"/>
    </xf>
    <xf numFmtId="0" fontId="31" fillId="0" borderId="37" xfId="0" applyFont="1" applyBorder="1" applyAlignment="1" applyProtection="1">
      <alignment horizontal="left" vertical="center" wrapText="1" indent="1"/>
      <protection hidden="1"/>
    </xf>
    <xf numFmtId="165" fontId="33" fillId="0" borderId="0" xfId="0" applyNumberFormat="1" applyFont="1" applyAlignment="1">
      <alignment vertical="center"/>
    </xf>
    <xf numFmtId="1" fontId="91" fillId="0" borderId="0" xfId="0" applyNumberFormat="1" applyFont="1" applyAlignment="1">
      <alignment vertical="center"/>
    </xf>
    <xf numFmtId="1" fontId="147" fillId="0" borderId="0" xfId="0" applyNumberFormat="1" applyFont="1" applyAlignment="1">
      <alignment vertical="center"/>
    </xf>
    <xf numFmtId="1" fontId="73" fillId="0" borderId="0" xfId="0" applyNumberFormat="1" applyFont="1" applyAlignment="1">
      <alignment horizontal="right" vertical="center"/>
    </xf>
    <xf numFmtId="165" fontId="14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35" xfId="0" applyFont="1" applyBorder="1" applyAlignment="1" applyProtection="1">
      <alignment horizontal="left" vertical="center" wrapText="1"/>
      <protection hidden="1"/>
    </xf>
    <xf numFmtId="0" fontId="31" fillId="0" borderId="44" xfId="0" applyFont="1" applyBorder="1" applyAlignment="1" applyProtection="1">
      <alignment horizontal="left" vertical="center" wrapText="1"/>
      <protection hidden="1"/>
    </xf>
    <xf numFmtId="0" fontId="32" fillId="0" borderId="35" xfId="0" applyFont="1" applyBorder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0" fontId="3" fillId="53" borderId="0" xfId="318" applyFill="1" applyAlignment="1">
      <alignment horizontal="center" vertical="center"/>
    </xf>
    <xf numFmtId="0" fontId="31" fillId="0" borderId="29" xfId="0" applyFont="1" applyBorder="1" applyAlignment="1" applyProtection="1">
      <alignment horizontal="left" vertical="center"/>
      <protection hidden="1"/>
    </xf>
    <xf numFmtId="0" fontId="73" fillId="0" borderId="0" xfId="0" applyFont="1" applyAlignment="1" applyProtection="1">
      <alignment horizontal="left" vertical="center" wrapText="1"/>
      <protection hidden="1"/>
    </xf>
    <xf numFmtId="0" fontId="73" fillId="0" borderId="13" xfId="0" applyFont="1" applyBorder="1" applyAlignment="1" applyProtection="1">
      <alignment horizontal="left" vertical="center" wrapText="1"/>
      <protection hidden="1"/>
    </xf>
    <xf numFmtId="0" fontId="71" fillId="0" borderId="32" xfId="0" applyFont="1" applyBorder="1" applyAlignment="1">
      <alignment vertical="top"/>
    </xf>
    <xf numFmtId="0" fontId="13" fillId="0" borderId="32" xfId="0" applyFont="1" applyBorder="1"/>
    <xf numFmtId="0" fontId="13" fillId="0" borderId="27" xfId="0" applyFont="1" applyBorder="1"/>
    <xf numFmtId="0" fontId="31" fillId="0" borderId="32" xfId="0" applyFont="1" applyBorder="1" applyAlignment="1" applyProtection="1">
      <alignment horizontal="left" vertical="center" wrapText="1" indent="1"/>
      <protection hidden="1"/>
    </xf>
    <xf numFmtId="0" fontId="31" fillId="0" borderId="10" xfId="0" applyFont="1" applyBorder="1" applyAlignment="1" applyProtection="1">
      <alignment horizontal="left" vertical="center" wrapText="1" indent="1"/>
      <protection hidden="1"/>
    </xf>
    <xf numFmtId="2" fontId="73" fillId="0" borderId="0" xfId="0" applyNumberFormat="1" applyFont="1" applyAlignment="1">
      <alignment horizontal="right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7" fillId="0" borderId="111" xfId="0" applyFont="1" applyBorder="1" applyAlignment="1" applyProtection="1">
      <alignment horizontal="center" vertical="center" wrapText="1"/>
      <protection hidden="1"/>
    </xf>
    <xf numFmtId="0" fontId="32" fillId="65" borderId="17" xfId="318" applyFont="1" applyFill="1" applyBorder="1" applyAlignment="1" applyProtection="1">
      <alignment horizontal="center" vertical="center" wrapText="1"/>
      <protection hidden="1"/>
    </xf>
    <xf numFmtId="166" fontId="32" fillId="0" borderId="21" xfId="318" applyNumberFormat="1" applyFont="1" applyBorder="1" applyAlignment="1" applyProtection="1">
      <alignment horizontal="center" vertical="center"/>
      <protection hidden="1"/>
    </xf>
    <xf numFmtId="3" fontId="32" fillId="0" borderId="10" xfId="318" applyNumberFormat="1" applyFont="1" applyBorder="1" applyAlignment="1" applyProtection="1">
      <alignment horizontal="center" vertical="center" wrapText="1"/>
      <protection hidden="1"/>
    </xf>
    <xf numFmtId="0" fontId="31" fillId="0" borderId="25" xfId="318" applyFont="1" applyBorder="1" applyAlignment="1" applyProtection="1">
      <alignment horizontal="center" vertical="center" wrapText="1"/>
      <protection hidden="1"/>
    </xf>
    <xf numFmtId="0" fontId="32" fillId="0" borderId="25" xfId="318" applyFont="1" applyBorder="1" applyAlignment="1" applyProtection="1">
      <alignment horizontal="left" vertical="center" wrapText="1"/>
      <protection hidden="1"/>
    </xf>
    <xf numFmtId="0" fontId="31" fillId="50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1" fillId="49" borderId="19" xfId="0" applyFont="1" applyFill="1" applyBorder="1" applyAlignment="1">
      <alignment horizontal="center" vertical="center"/>
    </xf>
    <xf numFmtId="0" fontId="31" fillId="49" borderId="21" xfId="0" applyFont="1" applyFill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 wrapText="1"/>
    </xf>
    <xf numFmtId="1" fontId="35" fillId="0" borderId="22" xfId="0" applyNumberFormat="1" applyFont="1" applyBorder="1" applyAlignment="1">
      <alignment horizontal="center" vertical="center"/>
    </xf>
    <xf numFmtId="1" fontId="35" fillId="0" borderId="23" xfId="0" applyNumberFormat="1" applyFont="1" applyBorder="1" applyAlignment="1">
      <alignment horizontal="center" vertical="center"/>
    </xf>
    <xf numFmtId="0" fontId="37" fillId="0" borderId="0" xfId="340" applyFont="1" applyAlignment="1" applyProtection="1">
      <alignment wrapText="1"/>
      <protection hidden="1"/>
    </xf>
    <xf numFmtId="1" fontId="35" fillId="0" borderId="0" xfId="0" applyNumberFormat="1" applyFont="1" applyAlignment="1">
      <alignment horizontal="left" vertical="center" wrapText="1" indent="1"/>
    </xf>
    <xf numFmtId="1" fontId="35" fillId="0" borderId="35" xfId="0" applyNumberFormat="1" applyFont="1" applyBorder="1" applyAlignment="1">
      <alignment horizontal="left" vertical="center" wrapText="1" indent="1"/>
    </xf>
    <xf numFmtId="1" fontId="35" fillId="0" borderId="20" xfId="0" applyNumberFormat="1" applyFont="1" applyBorder="1" applyAlignment="1">
      <alignment horizontal="center" vertical="center"/>
    </xf>
    <xf numFmtId="1" fontId="35" fillId="0" borderId="20" xfId="0" applyNumberFormat="1" applyFont="1" applyBorder="1" applyAlignment="1">
      <alignment horizontal="left" vertical="center" indent="1"/>
    </xf>
    <xf numFmtId="3" fontId="32" fillId="0" borderId="11" xfId="0" applyNumberFormat="1" applyFont="1" applyBorder="1" applyAlignment="1">
      <alignment horizontal="center" vertical="center" wrapText="1"/>
    </xf>
    <xf numFmtId="0" fontId="29" fillId="48" borderId="10" xfId="0" applyFont="1" applyFill="1" applyBorder="1" applyAlignment="1">
      <alignment horizontal="center" vertical="center" wrapText="1"/>
    </xf>
    <xf numFmtId="0" fontId="91" fillId="48" borderId="10" xfId="0" applyFont="1" applyFill="1" applyBorder="1" applyAlignment="1">
      <alignment horizontal="center" vertical="center"/>
    </xf>
    <xf numFmtId="2" fontId="65" fillId="53" borderId="0" xfId="0" applyNumberFormat="1" applyFont="1" applyFill="1" applyAlignment="1">
      <alignment vertical="center"/>
    </xf>
    <xf numFmtId="3" fontId="32" fillId="53" borderId="0" xfId="0" applyNumberFormat="1" applyFont="1" applyFill="1"/>
    <xf numFmtId="0" fontId="0" fillId="53" borderId="0" xfId="0" applyFill="1"/>
    <xf numFmtId="2" fontId="65" fillId="53" borderId="0" xfId="0" applyNumberFormat="1" applyFont="1" applyFill="1" applyAlignment="1">
      <alignment horizontal="right" vertical="center"/>
    </xf>
    <xf numFmtId="1" fontId="35" fillId="0" borderId="21" xfId="0" applyNumberFormat="1" applyFont="1" applyBorder="1" applyAlignment="1">
      <alignment horizontal="center" vertical="center" wrapText="1"/>
    </xf>
    <xf numFmtId="3" fontId="108" fillId="0" borderId="0" xfId="0" applyNumberFormat="1" applyFont="1" applyAlignment="1" applyProtection="1">
      <alignment horizontal="center" vertical="center" wrapText="1"/>
      <protection hidden="1"/>
    </xf>
    <xf numFmtId="0" fontId="107" fillId="0" borderId="0" xfId="0" applyFont="1" applyAlignment="1" applyProtection="1">
      <alignment horizontal="center" vertical="center"/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2" fontId="107" fillId="0" borderId="0" xfId="0" applyNumberFormat="1" applyFont="1" applyAlignment="1" applyProtection="1">
      <alignment horizontal="center" vertical="center"/>
      <protection hidden="1"/>
    </xf>
    <xf numFmtId="1" fontId="107" fillId="0" borderId="0" xfId="0" applyNumberFormat="1" applyFont="1" applyAlignment="1" applyProtection="1">
      <alignment horizontal="center" vertical="center"/>
      <protection hidden="1"/>
    </xf>
    <xf numFmtId="3" fontId="35" fillId="0" borderId="0" xfId="0" applyNumberFormat="1" applyFont="1" applyAlignment="1" applyProtection="1">
      <alignment horizontal="center" vertical="center" wrapText="1"/>
      <protection hidden="1"/>
    </xf>
    <xf numFmtId="166" fontId="32" fillId="0" borderId="0" xfId="0" applyNumberFormat="1" applyFont="1" applyAlignment="1" applyProtection="1">
      <alignment horizontal="center" vertical="center"/>
      <protection hidden="1"/>
    </xf>
    <xf numFmtId="0" fontId="68" fillId="53" borderId="0" xfId="0" applyFont="1" applyFill="1" applyAlignment="1">
      <alignment horizontal="center" vertical="center" wrapText="1"/>
    </xf>
    <xf numFmtId="3" fontId="108" fillId="53" borderId="0" xfId="0" applyNumberFormat="1" applyFont="1" applyFill="1" applyAlignment="1" applyProtection="1">
      <alignment horizontal="center" vertical="center" wrapText="1"/>
      <protection hidden="1"/>
    </xf>
    <xf numFmtId="3" fontId="108" fillId="53" borderId="0" xfId="0" applyNumberFormat="1" applyFont="1" applyFill="1" applyAlignment="1" applyProtection="1">
      <alignment horizontal="right" vertical="center" wrapText="1"/>
      <protection hidden="1"/>
    </xf>
    <xf numFmtId="0" fontId="123" fillId="47" borderId="19" xfId="341" applyFont="1" applyFill="1" applyBorder="1" applyAlignment="1">
      <alignment horizontal="center" vertical="center" wrapText="1"/>
    </xf>
    <xf numFmtId="0" fontId="32" fillId="0" borderId="25" xfId="318" applyFont="1" applyBorder="1" applyAlignment="1" applyProtection="1">
      <alignment horizontal="center" vertical="center"/>
      <protection hidden="1"/>
    </xf>
    <xf numFmtId="166" fontId="32" fillId="0" borderId="25" xfId="318" applyNumberFormat="1" applyFont="1" applyBorder="1" applyAlignment="1" applyProtection="1">
      <alignment horizontal="center" vertical="center"/>
      <protection hidden="1"/>
    </xf>
    <xf numFmtId="4" fontId="32" fillId="0" borderId="25" xfId="318" applyNumberFormat="1" applyFont="1" applyBorder="1" applyAlignment="1" applyProtection="1">
      <alignment horizontal="center" vertical="center"/>
      <protection hidden="1"/>
    </xf>
    <xf numFmtId="169" fontId="34" fillId="0" borderId="0" xfId="318" applyNumberFormat="1" applyFont="1" applyAlignment="1" applyProtection="1">
      <alignment horizontal="center" vertical="center" wrapText="1"/>
      <protection hidden="1"/>
    </xf>
    <xf numFmtId="3" fontId="137" fillId="0" borderId="0" xfId="318" applyNumberFormat="1" applyFont="1" applyAlignment="1" applyProtection="1">
      <alignment horizontal="center" vertical="center"/>
      <protection hidden="1"/>
    </xf>
    <xf numFmtId="169" fontId="32" fillId="0" borderId="25" xfId="318" applyNumberFormat="1" applyFont="1" applyBorder="1" applyAlignment="1" applyProtection="1">
      <alignment horizontal="center" vertical="center" wrapText="1"/>
      <protection hidden="1"/>
    </xf>
    <xf numFmtId="2" fontId="97" fillId="53" borderId="0" xfId="318" applyNumberFormat="1" applyFont="1" applyFill="1" applyAlignment="1">
      <alignment horizontal="left" vertical="center"/>
    </xf>
    <xf numFmtId="0" fontId="97" fillId="53" borderId="0" xfId="318" applyFont="1" applyFill="1"/>
    <xf numFmtId="2" fontId="97" fillId="53" borderId="0" xfId="318" applyNumberFormat="1" applyFont="1" applyFill="1" applyAlignment="1">
      <alignment horizontal="center"/>
    </xf>
    <xf numFmtId="2" fontId="59" fillId="0" borderId="15" xfId="0" applyNumberFormat="1" applyFont="1" applyBorder="1" applyAlignment="1">
      <alignment horizontal="center" vertical="center" wrapText="1"/>
    </xf>
    <xf numFmtId="2" fontId="91" fillId="52" borderId="0" xfId="0" applyNumberFormat="1" applyFont="1" applyFill="1" applyAlignment="1">
      <alignment vertical="center"/>
    </xf>
    <xf numFmtId="2" fontId="147" fillId="52" borderId="0" xfId="0" applyNumberFormat="1" applyFont="1" applyFill="1" applyAlignment="1">
      <alignment vertical="center"/>
    </xf>
    <xf numFmtId="1" fontId="152" fillId="55" borderId="0" xfId="0" applyNumberFormat="1" applyFont="1" applyFill="1"/>
    <xf numFmtId="2" fontId="32" fillId="0" borderId="19" xfId="0" applyNumberFormat="1" applyFont="1" applyBorder="1" applyAlignment="1" applyProtection="1">
      <alignment horizontal="center" vertical="center" wrapText="1"/>
      <protection hidden="1"/>
    </xf>
    <xf numFmtId="0" fontId="59" fillId="0" borderId="15" xfId="0" applyFont="1" applyBorder="1" applyAlignment="1">
      <alignment horizontal="center" vertical="center" wrapText="1"/>
    </xf>
    <xf numFmtId="0" fontId="35" fillId="0" borderId="129" xfId="0" applyFont="1" applyBorder="1" applyAlignment="1">
      <alignment vertical="center"/>
    </xf>
    <xf numFmtId="0" fontId="35" fillId="0" borderId="127" xfId="0" applyFont="1" applyBorder="1" applyAlignment="1">
      <alignment vertical="center"/>
    </xf>
    <xf numFmtId="0" fontId="73" fillId="0" borderId="131" xfId="0" applyFont="1" applyBorder="1" applyAlignment="1" applyProtection="1">
      <alignment vertical="center" wrapText="1"/>
      <protection hidden="1"/>
    </xf>
    <xf numFmtId="0" fontId="31" fillId="0" borderId="56" xfId="0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center" vertical="center" wrapText="1"/>
      <protection hidden="1"/>
    </xf>
    <xf numFmtId="0" fontId="31" fillId="0" borderId="29" xfId="0" applyFont="1" applyBorder="1" applyAlignment="1" applyProtection="1">
      <alignment horizontal="left" vertical="center" wrapText="1" indent="1"/>
      <protection hidden="1"/>
    </xf>
    <xf numFmtId="0" fontId="31" fillId="0" borderId="132" xfId="0" applyFont="1" applyBorder="1" applyAlignment="1" applyProtection="1">
      <alignment horizontal="center" vertical="center" wrapText="1"/>
      <protection hidden="1"/>
    </xf>
    <xf numFmtId="0" fontId="31" fillId="0" borderId="133" xfId="0" applyFont="1" applyBorder="1" applyAlignment="1" applyProtection="1">
      <alignment horizontal="left" vertical="center" wrapText="1" indent="1"/>
      <protection hidden="1"/>
    </xf>
    <xf numFmtId="3" fontId="32" fillId="0" borderId="132" xfId="0" applyNumberFormat="1" applyFont="1" applyBorder="1" applyAlignment="1" applyProtection="1">
      <alignment horizontal="center" vertical="center"/>
      <protection hidden="1"/>
    </xf>
    <xf numFmtId="1" fontId="59" fillId="53" borderId="0" xfId="0" applyNumberFormat="1" applyFont="1" applyFill="1" applyAlignment="1">
      <alignment horizontal="right" vertical="center"/>
    </xf>
    <xf numFmtId="0" fontId="31" fillId="62" borderId="29" xfId="0" applyFont="1" applyFill="1" applyBorder="1" applyAlignment="1" applyProtection="1">
      <alignment horizontal="left" vertical="center" wrapText="1" indent="1"/>
      <protection hidden="1"/>
    </xf>
    <xf numFmtId="3" fontId="32" fillId="62" borderId="17" xfId="0" applyNumberFormat="1" applyFont="1" applyFill="1" applyBorder="1" applyAlignment="1" applyProtection="1">
      <alignment horizontal="center" vertical="center"/>
      <protection hidden="1"/>
    </xf>
    <xf numFmtId="3" fontId="32" fillId="0" borderId="10" xfId="0" applyNumberFormat="1" applyFont="1" applyBorder="1" applyAlignment="1">
      <alignment horizontal="center" vertical="center"/>
    </xf>
    <xf numFmtId="0" fontId="31" fillId="50" borderId="17" xfId="0" applyFont="1" applyFill="1" applyBorder="1" applyAlignment="1">
      <alignment horizontal="center" vertical="center"/>
    </xf>
    <xf numFmtId="0" fontId="68" fillId="55" borderId="21" xfId="0" applyFont="1" applyFill="1" applyBorder="1" applyAlignment="1">
      <alignment horizontal="center" vertical="center" wrapText="1"/>
    </xf>
    <xf numFmtId="0" fontId="31" fillId="0" borderId="17" xfId="0" applyFont="1" applyBorder="1" applyAlignment="1" applyProtection="1">
      <alignment horizontal="center" vertical="center"/>
      <protection hidden="1"/>
    </xf>
    <xf numFmtId="0" fontId="32" fillId="0" borderId="10" xfId="0" applyFont="1" applyBorder="1" applyAlignment="1">
      <alignment horizontal="center" vertical="center"/>
    </xf>
    <xf numFmtId="3" fontId="32" fillId="0" borderId="35" xfId="0" applyNumberFormat="1" applyFont="1" applyBorder="1" applyAlignment="1">
      <alignment horizontal="center" vertical="center"/>
    </xf>
    <xf numFmtId="0" fontId="35" fillId="0" borderId="35" xfId="339" applyFont="1" applyBorder="1" applyAlignment="1">
      <alignment horizontal="center" vertical="center" wrapText="1"/>
    </xf>
    <xf numFmtId="3" fontId="35" fillId="0" borderId="17" xfId="0" applyNumberFormat="1" applyFont="1" applyBorder="1" applyAlignment="1">
      <alignment horizontal="center" vertical="center"/>
    </xf>
    <xf numFmtId="0" fontId="31" fillId="0" borderId="29" xfId="0" applyFont="1" applyBorder="1" applyAlignment="1" applyProtection="1">
      <alignment horizontal="center" vertical="center"/>
      <protection hidden="1"/>
    </xf>
    <xf numFmtId="3" fontId="35" fillId="0" borderId="10" xfId="0" applyNumberFormat="1" applyFont="1" applyBorder="1" applyAlignment="1">
      <alignment horizontal="center" vertical="center"/>
    </xf>
    <xf numFmtId="0" fontId="32" fillId="0" borderId="10" xfId="288" applyFont="1" applyBorder="1" applyAlignment="1">
      <alignment horizontal="center" vertical="center" wrapText="1"/>
    </xf>
    <xf numFmtId="0" fontId="68" fillId="55" borderId="10" xfId="0" applyFont="1" applyFill="1" applyBorder="1" applyAlignment="1">
      <alignment horizontal="center" vertical="center" wrapText="1"/>
    </xf>
    <xf numFmtId="3" fontId="35" fillId="0" borderId="0" xfId="339" applyNumberFormat="1" applyFont="1" applyAlignment="1">
      <alignment horizontal="center" vertical="center" wrapText="1"/>
    </xf>
    <xf numFmtId="0" fontId="35" fillId="0" borderId="35" xfId="339" applyFont="1" applyBorder="1" applyAlignment="1">
      <alignment vertical="center" wrapText="1"/>
    </xf>
    <xf numFmtId="0" fontId="35" fillId="0" borderId="32" xfId="339" applyFont="1" applyBorder="1" applyAlignment="1">
      <alignment vertical="center" wrapText="1"/>
    </xf>
    <xf numFmtId="0" fontId="35" fillId="0" borderId="10" xfId="339" applyFont="1" applyBorder="1" applyAlignment="1">
      <alignment vertical="center" wrapText="1"/>
    </xf>
    <xf numFmtId="4" fontId="32" fillId="0" borderId="35" xfId="339" applyNumberFormat="1" applyFont="1" applyBorder="1" applyAlignment="1">
      <alignment horizontal="center" vertical="center" wrapText="1"/>
    </xf>
    <xf numFmtId="4" fontId="32" fillId="0" borderId="0" xfId="339" applyNumberFormat="1" applyFont="1" applyAlignment="1">
      <alignment horizontal="center" vertical="center" wrapText="1"/>
    </xf>
    <xf numFmtId="2" fontId="31" fillId="0" borderId="0" xfId="166" applyNumberFormat="1" applyFont="1" applyAlignment="1">
      <alignment horizontal="center" vertical="center" wrapText="1"/>
    </xf>
    <xf numFmtId="14" fontId="73" fillId="0" borderId="0" xfId="0" applyNumberFormat="1" applyFont="1" applyAlignment="1">
      <alignment horizontal="left"/>
    </xf>
    <xf numFmtId="1" fontId="73" fillId="53" borderId="0" xfId="0" applyNumberFormat="1" applyFont="1" applyFill="1" applyAlignment="1">
      <alignment vertical="center"/>
    </xf>
    <xf numFmtId="0" fontId="73" fillId="53" borderId="0" xfId="0" applyFont="1" applyFill="1"/>
    <xf numFmtId="3" fontId="73" fillId="53" borderId="0" xfId="0" applyNumberFormat="1" applyFont="1" applyFill="1" applyAlignment="1">
      <alignment vertical="center"/>
    </xf>
    <xf numFmtId="0" fontId="33" fillId="53" borderId="0" xfId="0" applyFont="1" applyFill="1"/>
    <xf numFmtId="0" fontId="73" fillId="0" borderId="0" xfId="0" applyFont="1" applyAlignment="1">
      <alignment horizontal="center" vertical="center" wrapText="1"/>
    </xf>
    <xf numFmtId="0" fontId="68" fillId="0" borderId="0" xfId="0" applyFont="1" applyAlignment="1" applyProtection="1">
      <alignment vertical="top" wrapText="1"/>
      <protection hidden="1"/>
    </xf>
    <xf numFmtId="0" fontId="13" fillId="0" borderId="10" xfId="0" applyFont="1" applyBorder="1"/>
    <xf numFmtId="3" fontId="107" fillId="0" borderId="10" xfId="0" applyNumberFormat="1" applyFont="1" applyBorder="1" applyAlignment="1" applyProtection="1">
      <alignment horizontal="center" vertical="center"/>
      <protection hidden="1"/>
    </xf>
    <xf numFmtId="0" fontId="65" fillId="0" borderId="0" xfId="0" applyFont="1" applyAlignment="1">
      <alignment horizontal="center" vertical="center" wrapText="1"/>
    </xf>
    <xf numFmtId="0" fontId="35" fillId="0" borderId="19" xfId="339" applyFont="1" applyBorder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0" fontId="111" fillId="0" borderId="0" xfId="0" applyFont="1" applyAlignment="1">
      <alignment vertical="center" wrapText="1"/>
    </xf>
    <xf numFmtId="0" fontId="31" fillId="55" borderId="21" xfId="0" applyFont="1" applyFill="1" applyBorder="1" applyAlignment="1" applyProtection="1">
      <alignment horizontal="center" vertical="center"/>
      <protection hidden="1"/>
    </xf>
    <xf numFmtId="0" fontId="73" fillId="62" borderId="18" xfId="0" applyFont="1" applyFill="1" applyBorder="1" applyAlignment="1" applyProtection="1">
      <alignment horizontal="center" vertical="center" wrapText="1"/>
      <protection hidden="1"/>
    </xf>
    <xf numFmtId="166" fontId="32" fillId="58" borderId="14" xfId="0" applyNumberFormat="1" applyFont="1" applyFill="1" applyBorder="1" applyAlignment="1" applyProtection="1">
      <alignment horizontal="center" vertical="center"/>
      <protection hidden="1"/>
    </xf>
    <xf numFmtId="0" fontId="107" fillId="58" borderId="14" xfId="0" applyFont="1" applyFill="1" applyBorder="1" applyAlignment="1" applyProtection="1">
      <alignment horizontal="center" vertical="center"/>
      <protection hidden="1"/>
    </xf>
    <xf numFmtId="0" fontId="161" fillId="58" borderId="14" xfId="0" applyFont="1" applyFill="1" applyBorder="1" applyAlignment="1" applyProtection="1">
      <alignment horizontal="center" vertical="center"/>
      <protection hidden="1"/>
    </xf>
    <xf numFmtId="0" fontId="108" fillId="58" borderId="14" xfId="0" applyFont="1" applyFill="1" applyBorder="1" applyAlignment="1" applyProtection="1">
      <alignment horizontal="center" vertical="center"/>
      <protection hidden="1"/>
    </xf>
    <xf numFmtId="2" fontId="107" fillId="58" borderId="14" xfId="0" applyNumberFormat="1" applyFont="1" applyFill="1" applyBorder="1" applyAlignment="1" applyProtection="1">
      <alignment horizontal="center" vertical="center"/>
      <protection hidden="1"/>
    </xf>
    <xf numFmtId="1" fontId="107" fillId="58" borderId="14" xfId="0" applyNumberFormat="1" applyFont="1" applyFill="1" applyBorder="1" applyAlignment="1" applyProtection="1">
      <alignment horizontal="center" vertical="center"/>
      <protection hidden="1"/>
    </xf>
    <xf numFmtId="3" fontId="35" fillId="58" borderId="14" xfId="0" applyNumberFormat="1" applyFont="1" applyFill="1" applyBorder="1" applyAlignment="1" applyProtection="1">
      <alignment horizontal="center" vertical="center" wrapText="1"/>
      <protection hidden="1"/>
    </xf>
    <xf numFmtId="3" fontId="108" fillId="58" borderId="14" xfId="0" applyNumberFormat="1" applyFont="1" applyFill="1" applyBorder="1" applyAlignment="1" applyProtection="1">
      <alignment horizontal="center" vertical="center" wrapText="1"/>
      <protection hidden="1"/>
    </xf>
    <xf numFmtId="3" fontId="35" fillId="54" borderId="14" xfId="0" applyNumberFormat="1" applyFont="1" applyFill="1" applyBorder="1" applyAlignment="1" applyProtection="1">
      <alignment horizontal="center" vertical="center" wrapText="1"/>
      <protection hidden="1"/>
    </xf>
    <xf numFmtId="3" fontId="32" fillId="57" borderId="14" xfId="0" applyNumberFormat="1" applyFont="1" applyFill="1" applyBorder="1" applyAlignment="1" applyProtection="1">
      <alignment horizontal="center" vertical="center" wrapText="1"/>
      <protection hidden="1"/>
    </xf>
    <xf numFmtId="3" fontId="108" fillId="57" borderId="14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53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73" fillId="5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101" xfId="0" quotePrefix="1" applyFont="1" applyBorder="1" applyAlignment="1">
      <alignment horizontal="center" vertical="center"/>
    </xf>
    <xf numFmtId="0" fontId="31" fillId="0" borderId="0" xfId="0" quotePrefix="1" applyFont="1" applyAlignment="1">
      <alignment horizontal="right" vertical="center"/>
    </xf>
    <xf numFmtId="0" fontId="32" fillId="0" borderId="0" xfId="0" applyFont="1" applyAlignment="1">
      <alignment horizontal="left" vertical="center" wrapText="1"/>
    </xf>
    <xf numFmtId="0" fontId="65" fillId="0" borderId="10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 wrapText="1"/>
    </xf>
    <xf numFmtId="166" fontId="31" fillId="49" borderId="10" xfId="0" applyNumberFormat="1" applyFont="1" applyFill="1" applyBorder="1" applyAlignment="1">
      <alignment horizontal="center" vertical="center"/>
    </xf>
    <xf numFmtId="3" fontId="65" fillId="0" borderId="10" xfId="0" applyNumberFormat="1" applyFont="1" applyBorder="1" applyAlignment="1">
      <alignment horizontal="center" vertical="center"/>
    </xf>
    <xf numFmtId="3" fontId="65" fillId="0" borderId="0" xfId="0" applyNumberFormat="1" applyFont="1" applyAlignment="1">
      <alignment horizontal="center"/>
    </xf>
    <xf numFmtId="0" fontId="32" fillId="0" borderId="18" xfId="318" applyFont="1" applyBorder="1" applyAlignment="1" applyProtection="1">
      <alignment horizontal="center" vertical="center" wrapText="1"/>
      <protection hidden="1"/>
    </xf>
    <xf numFmtId="166" fontId="32" fillId="0" borderId="107" xfId="318" applyNumberFormat="1" applyFont="1" applyBorder="1" applyAlignment="1" applyProtection="1">
      <alignment horizontal="center" vertical="center"/>
      <protection hidden="1"/>
    </xf>
    <xf numFmtId="1" fontId="32" fillId="0" borderId="108" xfId="318" applyNumberFormat="1" applyFont="1" applyBorder="1" applyAlignment="1" applyProtection="1">
      <alignment horizontal="center" vertical="center"/>
      <protection hidden="1"/>
    </xf>
    <xf numFmtId="4" fontId="32" fillId="0" borderId="18" xfId="318" applyNumberFormat="1" applyFont="1" applyBorder="1" applyAlignment="1" applyProtection="1">
      <alignment horizontal="center" vertical="center"/>
      <protection hidden="1"/>
    </xf>
    <xf numFmtId="166" fontId="32" fillId="0" borderId="109" xfId="318" applyNumberFormat="1" applyFont="1" applyBorder="1" applyAlignment="1" applyProtection="1">
      <alignment horizontal="center" vertical="center"/>
      <protection hidden="1"/>
    </xf>
    <xf numFmtId="1" fontId="32" fillId="0" borderId="110" xfId="318" applyNumberFormat="1" applyFont="1" applyBorder="1" applyAlignment="1" applyProtection="1">
      <alignment horizontal="center" vertical="center"/>
      <protection hidden="1"/>
    </xf>
    <xf numFmtId="0" fontId="35" fillId="62" borderId="11" xfId="0" applyFont="1" applyFill="1" applyBorder="1" applyAlignment="1">
      <alignment horizontal="center" vertical="center"/>
    </xf>
    <xf numFmtId="0" fontId="35" fillId="62" borderId="14" xfId="0" applyFont="1" applyFill="1" applyBorder="1" applyAlignment="1">
      <alignment horizontal="center" vertical="center"/>
    </xf>
    <xf numFmtId="0" fontId="35" fillId="62" borderId="12" xfId="0" applyFont="1" applyFill="1" applyBorder="1" applyAlignment="1">
      <alignment horizontal="center" vertical="center"/>
    </xf>
    <xf numFmtId="0" fontId="162" fillId="68" borderId="10" xfId="0" applyFont="1" applyFill="1" applyBorder="1" applyAlignment="1">
      <alignment horizontal="center" vertical="center"/>
    </xf>
    <xf numFmtId="0" fontId="31" fillId="69" borderId="10" xfId="0" applyFont="1" applyFill="1" applyBorder="1" applyAlignment="1">
      <alignment horizontal="center" vertical="center" wrapText="1"/>
    </xf>
    <xf numFmtId="0" fontId="31" fillId="69" borderId="10" xfId="0" applyFont="1" applyFill="1" applyBorder="1" applyAlignment="1">
      <alignment horizontal="center" vertical="center"/>
    </xf>
    <xf numFmtId="1" fontId="35" fillId="62" borderId="11" xfId="0" applyNumberFormat="1" applyFont="1" applyFill="1" applyBorder="1" applyAlignment="1">
      <alignment horizontal="center" vertical="center"/>
    </xf>
    <xf numFmtId="1" fontId="35" fillId="62" borderId="14" xfId="0" applyNumberFormat="1" applyFont="1" applyFill="1" applyBorder="1" applyAlignment="1">
      <alignment horizontal="center" vertical="center"/>
    </xf>
    <xf numFmtId="1" fontId="35" fillId="62" borderId="20" xfId="0" applyNumberFormat="1" applyFont="1" applyFill="1" applyBorder="1" applyAlignment="1">
      <alignment horizontal="center" vertical="center"/>
    </xf>
    <xf numFmtId="0" fontId="33" fillId="0" borderId="29" xfId="0" applyFont="1" applyBorder="1"/>
    <xf numFmtId="0" fontId="33" fillId="0" borderId="32" xfId="0" applyFont="1" applyBorder="1"/>
    <xf numFmtId="0" fontId="33" fillId="0" borderId="27" xfId="0" applyFont="1" applyBorder="1"/>
    <xf numFmtId="0" fontId="31" fillId="49" borderId="43" xfId="0" applyFont="1" applyFill="1" applyBorder="1" applyAlignment="1">
      <alignment horizontal="center" vertical="center"/>
    </xf>
    <xf numFmtId="0" fontId="31" fillId="69" borderId="43" xfId="0" applyFont="1" applyFill="1" applyBorder="1" applyAlignment="1">
      <alignment horizontal="center" vertical="center"/>
    </xf>
    <xf numFmtId="0" fontId="31" fillId="0" borderId="15" xfId="318" applyFont="1" applyBorder="1" applyAlignment="1" applyProtection="1">
      <alignment horizontal="center" vertical="center" wrapText="1"/>
      <protection hidden="1"/>
    </xf>
    <xf numFmtId="0" fontId="73" fillId="0" borderId="15" xfId="0" applyFont="1" applyBorder="1" applyAlignment="1">
      <alignment vertical="center" wrapText="1"/>
    </xf>
    <xf numFmtId="0" fontId="31" fillId="0" borderId="132" xfId="0" applyFont="1" applyBorder="1" applyAlignment="1" applyProtection="1">
      <alignment horizontal="center" vertical="center"/>
      <protection hidden="1"/>
    </xf>
    <xf numFmtId="3" fontId="97" fillId="53" borderId="0" xfId="318" applyNumberFormat="1" applyFont="1" applyFill="1" applyAlignment="1">
      <alignment vertical="center"/>
    </xf>
    <xf numFmtId="0" fontId="32" fillId="0" borderId="0" xfId="314" applyFont="1" applyAlignment="1" applyProtection="1">
      <alignment horizontal="center" vertical="center" wrapText="1"/>
      <protection hidden="1"/>
    </xf>
    <xf numFmtId="0" fontId="35" fillId="0" borderId="50" xfId="318" applyFont="1" applyBorder="1" applyAlignment="1">
      <alignment horizontal="center" vertical="center" wrapText="1"/>
    </xf>
    <xf numFmtId="0" fontId="35" fillId="0" borderId="42" xfId="318" applyFont="1" applyBorder="1" applyAlignment="1">
      <alignment horizontal="center" vertical="center" wrapText="1"/>
    </xf>
    <xf numFmtId="0" fontId="35" fillId="0" borderId="174" xfId="318" applyFont="1" applyBorder="1" applyAlignment="1">
      <alignment horizontal="center" vertical="center" wrapText="1"/>
    </xf>
    <xf numFmtId="0" fontId="35" fillId="0" borderId="41" xfId="318" applyFont="1" applyBorder="1" applyAlignment="1">
      <alignment horizontal="center" vertical="center" wrapText="1"/>
    </xf>
    <xf numFmtId="3" fontId="35" fillId="0" borderId="108" xfId="318" applyNumberFormat="1" applyFont="1" applyBorder="1" applyAlignment="1" applyProtection="1">
      <alignment horizontal="center" vertical="center"/>
      <protection hidden="1"/>
    </xf>
    <xf numFmtId="3" fontId="35" fillId="0" borderId="110" xfId="318" applyNumberFormat="1" applyFont="1" applyBorder="1" applyAlignment="1" applyProtection="1">
      <alignment horizontal="center" vertical="center"/>
      <protection hidden="1"/>
    </xf>
    <xf numFmtId="166" fontId="32" fillId="0" borderId="175" xfId="318" applyNumberFormat="1" applyFont="1" applyBorder="1" applyAlignment="1" applyProtection="1">
      <alignment horizontal="center" vertical="center"/>
      <protection hidden="1"/>
    </xf>
    <xf numFmtId="3" fontId="35" fillId="0" borderId="176" xfId="318" applyNumberFormat="1" applyFont="1" applyBorder="1" applyAlignment="1" applyProtection="1">
      <alignment horizontal="center" vertical="center"/>
      <protection hidden="1"/>
    </xf>
    <xf numFmtId="1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 wrapText="1"/>
    </xf>
    <xf numFmtId="166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 wrapText="1"/>
    </xf>
    <xf numFmtId="2" fontId="31" fillId="0" borderId="0" xfId="0" applyNumberFormat="1" applyFont="1" applyAlignment="1">
      <alignment horizontal="center" vertical="center" wrapText="1"/>
    </xf>
    <xf numFmtId="1" fontId="3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68" fillId="0" borderId="0" xfId="0" applyFont="1" applyAlignment="1">
      <alignment horizontal="center" vertical="center"/>
    </xf>
    <xf numFmtId="0" fontId="65" fillId="0" borderId="0" xfId="0" applyFont="1" applyAlignment="1">
      <alignment horizontal="right" vertical="center"/>
    </xf>
    <xf numFmtId="14" fontId="32" fillId="0" borderId="0" xfId="0" applyNumberFormat="1" applyFont="1" applyAlignment="1">
      <alignment vertical="center"/>
    </xf>
    <xf numFmtId="1" fontId="35" fillId="0" borderId="0" xfId="0" applyNumberFormat="1" applyFont="1" applyAlignment="1">
      <alignment horizontal="left" vertical="center" wrapText="1"/>
    </xf>
    <xf numFmtId="1" fontId="35" fillId="0" borderId="0" xfId="0" applyNumberFormat="1" applyFont="1" applyAlignment="1">
      <alignment horizontal="left" vertical="center"/>
    </xf>
    <xf numFmtId="0" fontId="168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168" fillId="0" borderId="0" xfId="0" applyFont="1" applyAlignment="1">
      <alignment vertical="center" wrapText="1"/>
    </xf>
    <xf numFmtId="0" fontId="73" fillId="0" borderId="32" xfId="0" applyFont="1" applyBorder="1" applyAlignment="1">
      <alignment vertical="center" wrapText="1"/>
    </xf>
    <xf numFmtId="0" fontId="73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top" wrapText="1"/>
    </xf>
    <xf numFmtId="3" fontId="32" fillId="0" borderId="0" xfId="0" applyNumberFormat="1" applyFont="1" applyAlignment="1">
      <alignment horizontal="center" vertical="center"/>
    </xf>
    <xf numFmtId="3" fontId="168" fillId="0" borderId="0" xfId="0" applyNumberFormat="1" applyFont="1" applyAlignment="1">
      <alignment horizontal="center" vertical="center"/>
    </xf>
    <xf numFmtId="2" fontId="32" fillId="0" borderId="11" xfId="0" applyNumberFormat="1" applyFont="1" applyBorder="1" applyAlignment="1">
      <alignment horizontal="center" vertical="center"/>
    </xf>
    <xf numFmtId="2" fontId="32" fillId="0" borderId="12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left" vertical="center" wrapText="1" indent="1"/>
    </xf>
    <xf numFmtId="1" fontId="35" fillId="0" borderId="177" xfId="0" applyNumberFormat="1" applyFont="1" applyBorder="1" applyAlignment="1">
      <alignment horizontal="left" vertical="center" wrapText="1" indent="1"/>
    </xf>
    <xf numFmtId="1" fontId="35" fillId="0" borderId="14" xfId="0" applyNumberFormat="1" applyFont="1" applyBorder="1" applyAlignment="1">
      <alignment horizontal="left" vertical="center" wrapText="1" indent="1"/>
    </xf>
    <xf numFmtId="1" fontId="35" fillId="0" borderId="12" xfId="0" applyNumberFormat="1" applyFont="1" applyBorder="1" applyAlignment="1">
      <alignment horizontal="left" vertical="center" wrapText="1" indent="1"/>
    </xf>
    <xf numFmtId="1" fontId="73" fillId="0" borderId="0" xfId="0" applyNumberFormat="1" applyFont="1" applyAlignment="1">
      <alignment vertical="center" wrapText="1"/>
    </xf>
    <xf numFmtId="0" fontId="169" fillId="55" borderId="10" xfId="0" applyFont="1" applyFill="1" applyBorder="1" applyAlignment="1">
      <alignment horizontal="center" vertical="center"/>
    </xf>
    <xf numFmtId="166" fontId="169" fillId="56" borderId="10" xfId="0" applyNumberFormat="1" applyFont="1" applyFill="1" applyBorder="1" applyAlignment="1">
      <alignment horizontal="center" vertical="center"/>
    </xf>
    <xf numFmtId="0" fontId="169" fillId="56" borderId="10" xfId="0" applyFont="1" applyFill="1" applyBorder="1" applyAlignment="1">
      <alignment horizontal="center" vertical="center"/>
    </xf>
    <xf numFmtId="166" fontId="169" fillId="56" borderId="21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vertical="top" wrapText="1"/>
    </xf>
    <xf numFmtId="0" fontId="68" fillId="0" borderId="0" xfId="0" applyFont="1" applyAlignment="1" applyProtection="1">
      <alignment vertical="center" wrapText="1"/>
      <protection locked="0"/>
    </xf>
    <xf numFmtId="0" fontId="0" fillId="0" borderId="35" xfId="0" applyBorder="1" applyAlignment="1">
      <alignment vertical="center"/>
    </xf>
    <xf numFmtId="0" fontId="110" fillId="0" borderId="35" xfId="0" applyFont="1" applyBorder="1" applyAlignment="1">
      <alignment vertical="center"/>
    </xf>
    <xf numFmtId="166" fontId="169" fillId="0" borderId="0" xfId="0" applyNumberFormat="1" applyFont="1" applyAlignment="1">
      <alignment horizontal="center" vertical="center"/>
    </xf>
    <xf numFmtId="0" fontId="169" fillId="0" borderId="0" xfId="0" applyFont="1" applyAlignment="1">
      <alignment vertical="center"/>
    </xf>
    <xf numFmtId="0" fontId="170" fillId="0" borderId="0" xfId="0" applyFont="1" applyAlignment="1">
      <alignment horizontal="center" vertical="center"/>
    </xf>
    <xf numFmtId="0" fontId="31" fillId="0" borderId="178" xfId="0" applyFont="1" applyBorder="1" applyAlignment="1">
      <alignment horizontal="center" vertical="center" wrapText="1"/>
    </xf>
    <xf numFmtId="0" fontId="33" fillId="0" borderId="178" xfId="0" applyFont="1" applyBorder="1" applyAlignment="1">
      <alignment vertical="center"/>
    </xf>
    <xf numFmtId="0" fontId="32" fillId="0" borderId="178" xfId="0" applyFont="1" applyBorder="1" applyAlignment="1">
      <alignment horizontal="center" vertical="center" wrapText="1"/>
    </xf>
    <xf numFmtId="2" fontId="168" fillId="0" borderId="178" xfId="0" applyNumberFormat="1" applyFont="1" applyBorder="1" applyAlignment="1">
      <alignment horizontal="center" vertical="center"/>
    </xf>
    <xf numFmtId="3" fontId="32" fillId="0" borderId="178" xfId="0" applyNumberFormat="1" applyFont="1" applyBorder="1" applyAlignment="1">
      <alignment horizontal="center" vertical="center"/>
    </xf>
    <xf numFmtId="3" fontId="168" fillId="0" borderId="178" xfId="0" applyNumberFormat="1" applyFont="1" applyBorder="1" applyAlignment="1">
      <alignment horizontal="center" vertical="center"/>
    </xf>
    <xf numFmtId="0" fontId="73" fillId="0" borderId="178" xfId="0" applyFont="1" applyBorder="1" applyAlignment="1">
      <alignment horizontal="left" vertical="center" wrapText="1"/>
    </xf>
    <xf numFmtId="0" fontId="31" fillId="0" borderId="178" xfId="0" applyFont="1" applyBorder="1" applyAlignment="1">
      <alignment horizontal="center" vertical="top" wrapText="1"/>
    </xf>
    <xf numFmtId="0" fontId="168" fillId="0" borderId="178" xfId="0" applyFont="1" applyBorder="1" applyAlignment="1">
      <alignment horizontal="center" vertical="center"/>
    </xf>
    <xf numFmtId="0" fontId="73" fillId="0" borderId="178" xfId="0" applyFont="1" applyBorder="1" applyAlignment="1">
      <alignment horizontal="left" vertical="top" wrapText="1"/>
    </xf>
    <xf numFmtId="1" fontId="35" fillId="0" borderId="178" xfId="0" applyNumberFormat="1" applyFont="1" applyBorder="1" applyAlignment="1">
      <alignment vertical="center" wrapText="1"/>
    </xf>
    <xf numFmtId="0" fontId="32" fillId="0" borderId="178" xfId="0" applyFont="1" applyBorder="1" applyAlignment="1">
      <alignment vertical="center" wrapText="1"/>
    </xf>
    <xf numFmtId="166" fontId="32" fillId="0" borderId="178" xfId="0" applyNumberFormat="1" applyFont="1" applyBorder="1" applyAlignment="1">
      <alignment vertical="center"/>
    </xf>
    <xf numFmtId="1" fontId="32" fillId="0" borderId="178" xfId="0" applyNumberFormat="1" applyFont="1" applyBorder="1" applyAlignment="1">
      <alignment vertical="center" wrapText="1"/>
    </xf>
    <xf numFmtId="0" fontId="73" fillId="0" borderId="178" xfId="0" applyFont="1" applyBorder="1" applyAlignment="1">
      <alignment vertical="center" wrapText="1"/>
    </xf>
    <xf numFmtId="2" fontId="31" fillId="0" borderId="178" xfId="0" applyNumberFormat="1" applyFont="1" applyBorder="1" applyAlignment="1">
      <alignment horizontal="center" vertical="center" wrapText="1"/>
    </xf>
    <xf numFmtId="0" fontId="31" fillId="56" borderId="10" xfId="0" applyFont="1" applyFill="1" applyBorder="1" applyAlignment="1">
      <alignment horizontal="center" vertical="center"/>
    </xf>
    <xf numFmtId="0" fontId="33" fillId="0" borderId="0" xfId="0" applyFont="1" applyAlignment="1">
      <alignment vertical="top" wrapText="1"/>
    </xf>
    <xf numFmtId="0" fontId="31" fillId="0" borderId="0" xfId="288" applyFont="1" applyAlignment="1">
      <alignment horizontal="center" vertical="center"/>
    </xf>
    <xf numFmtId="0" fontId="31" fillId="0" borderId="0" xfId="288" applyFont="1" applyAlignment="1">
      <alignment vertical="center" wrapText="1"/>
    </xf>
    <xf numFmtId="0" fontId="32" fillId="0" borderId="0" xfId="288" applyFont="1" applyAlignment="1">
      <alignment vertical="center" wrapText="1"/>
    </xf>
    <xf numFmtId="0" fontId="171" fillId="0" borderId="0" xfId="0" applyFont="1" applyAlignment="1">
      <alignment vertical="center"/>
    </xf>
    <xf numFmtId="166" fontId="32" fillId="0" borderId="11" xfId="0" applyNumberFormat="1" applyFont="1" applyBorder="1" applyAlignment="1">
      <alignment horizontal="center" vertical="center"/>
    </xf>
    <xf numFmtId="166" fontId="32" fillId="0" borderId="14" xfId="0" applyNumberFormat="1" applyFont="1" applyBorder="1" applyAlignment="1">
      <alignment horizontal="center" vertical="center"/>
    </xf>
    <xf numFmtId="166" fontId="32" fillId="0" borderId="12" xfId="0" applyNumberFormat="1" applyFont="1" applyBorder="1" applyAlignment="1">
      <alignment horizontal="center" vertical="center"/>
    </xf>
    <xf numFmtId="1" fontId="35" fillId="0" borderId="185" xfId="0" applyNumberFormat="1" applyFont="1" applyBorder="1" applyAlignment="1">
      <alignment horizontal="left" vertical="center" wrapText="1" indent="1"/>
    </xf>
    <xf numFmtId="1" fontId="35" fillId="0" borderId="186" xfId="0" applyNumberFormat="1" applyFont="1" applyBorder="1" applyAlignment="1">
      <alignment horizontal="left" vertical="center" wrapText="1" indent="1"/>
    </xf>
    <xf numFmtId="0" fontId="168" fillId="0" borderId="11" xfId="0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2" fontId="168" fillId="0" borderId="14" xfId="0" applyNumberFormat="1" applyFont="1" applyBorder="1" applyAlignment="1">
      <alignment horizontal="center" vertical="center"/>
    </xf>
    <xf numFmtId="3" fontId="32" fillId="0" borderId="14" xfId="0" applyNumberFormat="1" applyFont="1" applyBorder="1" applyAlignment="1">
      <alignment horizontal="center" vertical="center"/>
    </xf>
    <xf numFmtId="2" fontId="168" fillId="0" borderId="12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/>
    </xf>
    <xf numFmtId="3" fontId="168" fillId="0" borderId="12" xfId="0" applyNumberFormat="1" applyFont="1" applyBorder="1" applyAlignment="1">
      <alignment horizontal="center" vertical="center"/>
    </xf>
    <xf numFmtId="3" fontId="168" fillId="0" borderId="11" xfId="0" applyNumberFormat="1" applyFont="1" applyBorder="1" applyAlignment="1">
      <alignment horizontal="center" vertical="center"/>
    </xf>
    <xf numFmtId="3" fontId="168" fillId="0" borderId="177" xfId="0" applyNumberFormat="1" applyFont="1" applyBorder="1" applyAlignment="1">
      <alignment horizontal="center" vertical="center"/>
    </xf>
    <xf numFmtId="3" fontId="32" fillId="0" borderId="185" xfId="0" applyNumberFormat="1" applyFont="1" applyBorder="1" applyAlignment="1">
      <alignment horizontal="center" vertical="center"/>
    </xf>
    <xf numFmtId="3" fontId="168" fillId="0" borderId="186" xfId="0" applyNumberFormat="1" applyFont="1" applyBorder="1" applyAlignment="1">
      <alignment horizontal="center" vertical="center"/>
    </xf>
    <xf numFmtId="166" fontId="168" fillId="0" borderId="11" xfId="0" applyNumberFormat="1" applyFont="1" applyBorder="1" applyAlignment="1">
      <alignment horizontal="center" vertical="center"/>
    </xf>
    <xf numFmtId="166" fontId="168" fillId="0" borderId="14" xfId="0" applyNumberFormat="1" applyFont="1" applyBorder="1" applyAlignment="1">
      <alignment horizontal="center" vertical="center"/>
    </xf>
    <xf numFmtId="3" fontId="168" fillId="0" borderId="14" xfId="0" applyNumberFormat="1" applyFont="1" applyBorder="1" applyAlignment="1">
      <alignment horizontal="center" vertical="center"/>
    </xf>
    <xf numFmtId="166" fontId="168" fillId="0" borderId="12" xfId="0" applyNumberFormat="1" applyFont="1" applyBorder="1" applyAlignment="1">
      <alignment horizontal="center" vertical="center"/>
    </xf>
    <xf numFmtId="0" fontId="168" fillId="0" borderId="14" xfId="0" applyFont="1" applyBorder="1" applyAlignment="1">
      <alignment horizontal="center" vertical="center"/>
    </xf>
    <xf numFmtId="3" fontId="168" fillId="0" borderId="185" xfId="0" applyNumberFormat="1" applyFont="1" applyBorder="1" applyAlignment="1">
      <alignment horizontal="center" vertical="center"/>
    </xf>
    <xf numFmtId="0" fontId="168" fillId="0" borderId="12" xfId="0" applyFont="1" applyBorder="1" applyAlignment="1">
      <alignment horizontal="center" vertical="center"/>
    </xf>
    <xf numFmtId="0" fontId="73" fillId="0" borderId="0" xfId="0" applyFont="1" applyAlignment="1">
      <alignment horizontal="left" vertical="top" wrapText="1"/>
    </xf>
    <xf numFmtId="0" fontId="173" fillId="0" borderId="0" xfId="341" applyFont="1" applyAlignment="1">
      <alignment vertical="center" wrapText="1"/>
    </xf>
    <xf numFmtId="9" fontId="46" fillId="0" borderId="0" xfId="357" applyFont="1" applyFill="1" applyBorder="1" applyAlignment="1">
      <alignment vertical="center"/>
    </xf>
    <xf numFmtId="0" fontId="124" fillId="0" borderId="0" xfId="288" applyFont="1" applyAlignment="1">
      <alignment vertical="center" wrapText="1"/>
    </xf>
    <xf numFmtId="9" fontId="38" fillId="0" borderId="10" xfId="357" applyFont="1" applyBorder="1" applyAlignment="1">
      <alignment horizontal="center" vertical="center"/>
    </xf>
    <xf numFmtId="0" fontId="169" fillId="0" borderId="0" xfId="0" applyFont="1" applyAlignment="1">
      <alignment horizontal="center" vertical="center"/>
    </xf>
    <xf numFmtId="0" fontId="169" fillId="0" borderId="0" xfId="0" applyFont="1" applyAlignment="1">
      <alignment vertical="center" wrapText="1"/>
    </xf>
    <xf numFmtId="166" fontId="169" fillId="0" borderId="0" xfId="0" applyNumberFormat="1" applyFont="1" applyAlignment="1">
      <alignment vertical="center"/>
    </xf>
    <xf numFmtId="0" fontId="174" fillId="0" borderId="0" xfId="0" applyFont="1" applyAlignment="1">
      <alignment vertical="center"/>
    </xf>
    <xf numFmtId="0" fontId="175" fillId="0" borderId="0" xfId="0" applyFont="1" applyAlignment="1">
      <alignment vertical="center" wrapText="1"/>
    </xf>
    <xf numFmtId="0" fontId="175" fillId="0" borderId="0" xfId="0" applyFont="1" applyAlignment="1">
      <alignment horizontal="center" vertical="center"/>
    </xf>
    <xf numFmtId="2" fontId="175" fillId="0" borderId="0" xfId="0" applyNumberFormat="1" applyFont="1" applyAlignment="1">
      <alignment horizontal="center" vertical="center"/>
    </xf>
    <xf numFmtId="1" fontId="176" fillId="0" borderId="0" xfId="0" applyNumberFormat="1" applyFont="1" applyAlignment="1">
      <alignment horizontal="center" vertical="center"/>
    </xf>
    <xf numFmtId="166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vertical="center" wrapText="1"/>
    </xf>
    <xf numFmtId="166" fontId="175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1" fontId="89" fillId="0" borderId="0" xfId="0" applyNumberFormat="1" applyFont="1" applyAlignment="1">
      <alignment vertical="center"/>
    </xf>
    <xf numFmtId="0" fontId="176" fillId="0" borderId="0" xfId="0" applyFont="1" applyAlignment="1">
      <alignment vertical="center" wrapText="1"/>
    </xf>
    <xf numFmtId="0" fontId="177" fillId="0" borderId="0" xfId="0" applyFont="1" applyAlignment="1">
      <alignment vertical="center"/>
    </xf>
    <xf numFmtId="0" fontId="178" fillId="0" borderId="0" xfId="0" applyFont="1" applyAlignment="1">
      <alignment horizontal="center" vertical="center"/>
    </xf>
    <xf numFmtId="0" fontId="179" fillId="0" borderId="0" xfId="0" applyFont="1" applyAlignment="1">
      <alignment vertical="center"/>
    </xf>
    <xf numFmtId="1" fontId="148" fillId="0" borderId="0" xfId="0" applyNumberFormat="1" applyFont="1" applyAlignment="1">
      <alignment vertical="center"/>
    </xf>
    <xf numFmtId="0" fontId="32" fillId="0" borderId="10" xfId="318" applyFont="1" applyBorder="1" applyAlignment="1" applyProtection="1">
      <alignment horizontal="center" vertical="center" wrapText="1"/>
      <protection hidden="1"/>
    </xf>
    <xf numFmtId="0" fontId="31" fillId="0" borderId="10" xfId="318" applyFont="1" applyBorder="1" applyAlignment="1" applyProtection="1">
      <alignment horizontal="center" vertical="center" wrapText="1"/>
      <protection hidden="1"/>
    </xf>
    <xf numFmtId="0" fontId="32" fillId="0" borderId="0" xfId="318" applyFont="1" applyAlignment="1" applyProtection="1">
      <alignment horizontal="center" vertical="center" wrapText="1"/>
      <protection hidden="1"/>
    </xf>
    <xf numFmtId="0" fontId="31" fillId="0" borderId="0" xfId="314" applyFont="1" applyAlignment="1" applyProtection="1">
      <alignment horizontal="center" vertical="center" wrapText="1"/>
      <protection hidden="1"/>
    </xf>
    <xf numFmtId="3" fontId="35" fillId="0" borderId="0" xfId="318" applyNumberFormat="1" applyFont="1" applyAlignment="1">
      <alignment horizontal="center" vertical="center"/>
    </xf>
    <xf numFmtId="3" fontId="35" fillId="0" borderId="0" xfId="318" applyNumberFormat="1" applyFont="1" applyAlignment="1" applyProtection="1">
      <alignment horizontal="center" vertical="center"/>
      <protection hidden="1"/>
    </xf>
    <xf numFmtId="0" fontId="32" fillId="0" borderId="12" xfId="339" applyFont="1" applyBorder="1" applyAlignment="1">
      <alignment horizontal="center" vertical="center" wrapText="1"/>
    </xf>
    <xf numFmtId="0" fontId="32" fillId="0" borderId="26" xfId="339" applyFont="1" applyBorder="1" applyAlignment="1">
      <alignment horizontal="center" wrapText="1"/>
    </xf>
    <xf numFmtId="0" fontId="32" fillId="0" borderId="0" xfId="0" applyFont="1" applyAlignment="1">
      <alignment vertical="top"/>
    </xf>
    <xf numFmtId="0" fontId="31" fillId="0" borderId="29" xfId="0" applyFont="1" applyBorder="1" applyAlignment="1" applyProtection="1">
      <alignment horizontal="left" vertical="center" wrapText="1"/>
      <protection hidden="1"/>
    </xf>
    <xf numFmtId="0" fontId="31" fillId="0" borderId="36" xfId="0" applyFont="1" applyBorder="1" applyAlignment="1" applyProtection="1">
      <alignment vertical="center"/>
      <protection hidden="1"/>
    </xf>
    <xf numFmtId="0" fontId="32" fillId="0" borderId="22" xfId="0" applyFont="1" applyBorder="1" applyAlignment="1" applyProtection="1">
      <alignment vertical="center"/>
      <protection hidden="1"/>
    </xf>
    <xf numFmtId="0" fontId="69" fillId="0" borderId="0" xfId="0" applyFont="1" applyAlignment="1" applyProtection="1">
      <alignment vertical="top" wrapText="1"/>
      <protection hidden="1"/>
    </xf>
    <xf numFmtId="0" fontId="31" fillId="0" borderId="0" xfId="0" applyFont="1" applyAlignment="1" applyProtection="1">
      <alignment wrapText="1"/>
      <protection hidden="1"/>
    </xf>
    <xf numFmtId="14" fontId="32" fillId="0" borderId="0" xfId="0" applyNumberFormat="1" applyFont="1" applyAlignment="1" applyProtection="1">
      <alignment horizontal="right"/>
      <protection hidden="1"/>
    </xf>
    <xf numFmtId="0" fontId="31" fillId="0" borderId="10" xfId="0" applyFont="1" applyBorder="1" applyAlignment="1">
      <alignment vertical="center"/>
    </xf>
    <xf numFmtId="0" fontId="37" fillId="0" borderId="0" xfId="340" applyFont="1" applyAlignment="1" applyProtection="1">
      <alignment vertical="top" wrapText="1"/>
      <protection hidden="1"/>
    </xf>
    <xf numFmtId="0" fontId="37" fillId="0" borderId="0" xfId="340" applyFont="1" applyAlignment="1" applyProtection="1">
      <alignment horizontal="center" vertical="center" wrapText="1"/>
      <protection hidden="1"/>
    </xf>
    <xf numFmtId="14" fontId="32" fillId="0" borderId="0" xfId="0" applyNumberFormat="1" applyFont="1" applyAlignment="1">
      <alignment horizontal="right" wrapText="1"/>
    </xf>
    <xf numFmtId="14" fontId="32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168" fillId="0" borderId="0" xfId="0" applyFont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168" fillId="0" borderId="1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168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168" fillId="0" borderId="12" xfId="0" applyFont="1" applyBorder="1" applyAlignment="1">
      <alignment horizontal="center" vertical="center" wrapText="1"/>
    </xf>
    <xf numFmtId="0" fontId="169" fillId="58" borderId="13" xfId="0" applyFont="1" applyFill="1" applyBorder="1" applyAlignment="1">
      <alignment horizontal="center" vertical="center" wrapText="1"/>
    </xf>
    <xf numFmtId="0" fontId="169" fillId="58" borderId="19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68" fillId="58" borderId="13" xfId="0" applyFont="1" applyFill="1" applyBorder="1" applyAlignment="1">
      <alignment horizontal="center" vertical="center" wrapText="1"/>
    </xf>
    <xf numFmtId="0" fontId="168" fillId="58" borderId="19" xfId="0" applyFont="1" applyFill="1" applyBorder="1" applyAlignment="1">
      <alignment horizontal="center" vertical="center" wrapText="1"/>
    </xf>
    <xf numFmtId="0" fontId="168" fillId="0" borderId="20" xfId="0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168" fillId="0" borderId="16" xfId="0" applyFont="1" applyBorder="1" applyAlignment="1">
      <alignment horizontal="center" vertical="center" wrapText="1"/>
    </xf>
    <xf numFmtId="0" fontId="182" fillId="0" borderId="29" xfId="0" applyFont="1" applyBorder="1" applyAlignment="1">
      <alignment horizontal="center" vertical="center" wrapText="1"/>
    </xf>
    <xf numFmtId="0" fontId="182" fillId="0" borderId="35" xfId="0" applyFont="1" applyBorder="1" applyAlignment="1">
      <alignment horizontal="center" vertical="center" wrapText="1"/>
    </xf>
    <xf numFmtId="0" fontId="182" fillId="0" borderId="32" xfId="0" applyFont="1" applyBorder="1" applyAlignment="1">
      <alignment horizontal="center" vertical="center" wrapText="1"/>
    </xf>
    <xf numFmtId="0" fontId="182" fillId="0" borderId="0" xfId="0" applyFont="1" applyAlignment="1">
      <alignment horizontal="center" vertical="center" wrapText="1"/>
    </xf>
    <xf numFmtId="0" fontId="182" fillId="0" borderId="28" xfId="0" applyFont="1" applyBorder="1" applyAlignment="1">
      <alignment horizontal="center" vertical="center" wrapText="1"/>
    </xf>
    <xf numFmtId="0" fontId="182" fillId="0" borderId="27" xfId="0" applyFont="1" applyBorder="1" applyAlignment="1">
      <alignment horizontal="center" vertical="center" wrapText="1"/>
    </xf>
    <xf numFmtId="0" fontId="182" fillId="0" borderId="25" xfId="0" applyFont="1" applyBorder="1" applyAlignment="1">
      <alignment horizontal="center" vertical="center" wrapText="1"/>
    </xf>
    <xf numFmtId="0" fontId="182" fillId="0" borderId="43" xfId="0" applyFont="1" applyBorder="1" applyAlignment="1">
      <alignment horizontal="center" vertical="center" wrapText="1"/>
    </xf>
    <xf numFmtId="0" fontId="73" fillId="50" borderId="17" xfId="0" applyFont="1" applyFill="1" applyBorder="1" applyAlignment="1" applyProtection="1">
      <alignment horizontal="center" vertical="center" wrapText="1"/>
      <protection locked="0"/>
    </xf>
    <xf numFmtId="0" fontId="73" fillId="50" borderId="29" xfId="0" applyFont="1" applyFill="1" applyBorder="1" applyAlignment="1" applyProtection="1">
      <alignment horizontal="center" vertical="center" wrapText="1"/>
      <protection locked="0"/>
    </xf>
    <xf numFmtId="0" fontId="183" fillId="0" borderId="0" xfId="0" applyFont="1" applyAlignment="1">
      <alignment horizontal="center" vertical="center" wrapText="1"/>
    </xf>
    <xf numFmtId="0" fontId="183" fillId="0" borderId="0" xfId="0" applyFont="1" applyAlignment="1">
      <alignment horizontal="center" vertical="center"/>
    </xf>
    <xf numFmtId="0" fontId="119" fillId="47" borderId="10" xfId="341" applyFont="1" applyFill="1" applyBorder="1" applyAlignment="1">
      <alignment horizontal="center" vertical="center" wrapText="1"/>
    </xf>
    <xf numFmtId="9" fontId="42" fillId="0" borderId="10" xfId="357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vertical="center"/>
    </xf>
    <xf numFmtId="14" fontId="184" fillId="0" borderId="0" xfId="249" applyNumberFormat="1" applyFont="1" applyFill="1" applyAlignment="1"/>
    <xf numFmtId="0" fontId="184" fillId="0" borderId="0" xfId="249" applyFont="1" applyFill="1" applyAlignment="1"/>
    <xf numFmtId="0" fontId="184" fillId="0" borderId="0" xfId="249" applyFont="1" applyFill="1" applyAlignment="1">
      <alignment horizontal="left"/>
    </xf>
    <xf numFmtId="1" fontId="35" fillId="0" borderId="20" xfId="0" applyNumberFormat="1" applyFont="1" applyBorder="1" applyAlignment="1">
      <alignment horizontal="left" vertical="center" wrapText="1" indent="1"/>
    </xf>
    <xf numFmtId="1" fontId="35" fillId="0" borderId="191" xfId="0" applyNumberFormat="1" applyFont="1" applyBorder="1" applyAlignment="1">
      <alignment horizontal="left" vertical="center" wrapText="1" indent="1"/>
    </xf>
    <xf numFmtId="0" fontId="6" fillId="0" borderId="0" xfId="396" applyFont="1"/>
    <xf numFmtId="0" fontId="41" fillId="0" borderId="0" xfId="396" applyFont="1" applyAlignment="1">
      <alignment horizontal="right" vertical="center"/>
    </xf>
    <xf numFmtId="14" fontId="41" fillId="0" borderId="0" xfId="396" applyNumberFormat="1" applyFont="1" applyAlignment="1">
      <alignment vertical="center"/>
    </xf>
    <xf numFmtId="0" fontId="1" fillId="0" borderId="0" xfId="396"/>
    <xf numFmtId="0" fontId="76" fillId="0" borderId="188" xfId="396" applyFont="1" applyBorder="1" applyAlignment="1">
      <alignment horizontal="centerContinuous" vertical="center"/>
    </xf>
    <xf numFmtId="0" fontId="185" fillId="0" borderId="0" xfId="396" applyFont="1" applyAlignment="1">
      <alignment vertical="center"/>
    </xf>
    <xf numFmtId="0" fontId="6" fillId="0" borderId="0" xfId="396" applyFont="1" applyAlignment="1">
      <alignment vertical="center"/>
    </xf>
    <xf numFmtId="0" fontId="6" fillId="0" borderId="0" xfId="396" applyFont="1" applyAlignment="1">
      <alignment horizontal="right" vertical="center"/>
    </xf>
    <xf numFmtId="14" fontId="185" fillId="0" borderId="0" xfId="396" applyNumberFormat="1" applyFont="1"/>
    <xf numFmtId="0" fontId="185" fillId="55" borderId="10" xfId="396" applyFont="1" applyFill="1" applyBorder="1" applyAlignment="1">
      <alignment horizontal="center" vertical="center"/>
    </xf>
    <xf numFmtId="0" fontId="6" fillId="55" borderId="10" xfId="396" applyFont="1" applyFill="1" applyBorder="1" applyAlignment="1">
      <alignment horizontal="left" vertical="center" wrapText="1"/>
    </xf>
    <xf numFmtId="0" fontId="6" fillId="55" borderId="10" xfId="396" applyFont="1" applyFill="1" applyBorder="1" applyAlignment="1">
      <alignment vertical="center" wrapText="1"/>
    </xf>
    <xf numFmtId="0" fontId="6" fillId="55" borderId="10" xfId="396" applyFont="1" applyFill="1" applyBorder="1" applyAlignment="1">
      <alignment horizontal="center" vertical="center" wrapText="1"/>
    </xf>
    <xf numFmtId="0" fontId="188" fillId="0" borderId="0" xfId="396" applyFont="1" applyAlignment="1">
      <alignment vertical="center" wrapText="1"/>
    </xf>
    <xf numFmtId="0" fontId="185" fillId="55" borderId="189" xfId="396" applyFont="1" applyFill="1" applyBorder="1" applyAlignment="1">
      <alignment horizontal="center" vertical="center"/>
    </xf>
    <xf numFmtId="0" fontId="185" fillId="55" borderId="61" xfId="396" applyFont="1" applyFill="1" applyBorder="1" applyAlignment="1">
      <alignment horizontal="center" vertical="center"/>
    </xf>
    <xf numFmtId="0" fontId="185" fillId="55" borderId="10" xfId="396" applyFont="1" applyFill="1" applyBorder="1" applyAlignment="1">
      <alignment vertical="center"/>
    </xf>
    <xf numFmtId="0" fontId="185" fillId="55" borderId="189" xfId="396" applyFont="1" applyFill="1" applyBorder="1" applyAlignment="1">
      <alignment vertical="center"/>
    </xf>
    <xf numFmtId="0" fontId="6" fillId="55" borderId="61" xfId="396" applyFont="1" applyFill="1" applyBorder="1" applyAlignment="1">
      <alignment vertical="center"/>
    </xf>
    <xf numFmtId="0" fontId="6" fillId="55" borderId="189" xfId="396" applyFont="1" applyFill="1" applyBorder="1" applyAlignment="1">
      <alignment vertical="center"/>
    </xf>
    <xf numFmtId="0" fontId="6" fillId="55" borderId="10" xfId="396" applyFont="1" applyFill="1" applyBorder="1" applyAlignment="1">
      <alignment vertical="center"/>
    </xf>
    <xf numFmtId="0" fontId="6" fillId="0" borderId="10" xfId="396" applyFont="1" applyBorder="1" applyAlignment="1">
      <alignment vertical="center"/>
    </xf>
    <xf numFmtId="0" fontId="27" fillId="0" borderId="10" xfId="396" applyFont="1" applyBorder="1" applyAlignment="1">
      <alignment horizontal="center" vertical="center"/>
    </xf>
    <xf numFmtId="1" fontId="27" fillId="0" borderId="189" xfId="396" applyNumberFormat="1" applyFont="1" applyBorder="1" applyAlignment="1">
      <alignment horizontal="center" vertical="center"/>
    </xf>
    <xf numFmtId="1" fontId="27" fillId="0" borderId="10" xfId="396" applyNumberFormat="1" applyFont="1" applyBorder="1" applyAlignment="1">
      <alignment horizontal="center" vertical="center"/>
    </xf>
    <xf numFmtId="3" fontId="6" fillId="0" borderId="0" xfId="396" applyNumberFormat="1" applyFont="1"/>
    <xf numFmtId="1" fontId="6" fillId="0" borderId="0" xfId="396" applyNumberFormat="1" applyFont="1"/>
    <xf numFmtId="0" fontId="6" fillId="0" borderId="10" xfId="396" applyFont="1" applyBorder="1" applyAlignment="1">
      <alignment horizontal="left" vertical="center"/>
    </xf>
    <xf numFmtId="0" fontId="27" fillId="0" borderId="10" xfId="396" applyFont="1" applyBorder="1" applyAlignment="1">
      <alignment horizontal="center" vertical="center" wrapText="1"/>
    </xf>
    <xf numFmtId="0" fontId="27" fillId="0" borderId="61" xfId="396" applyFont="1" applyBorder="1" applyAlignment="1">
      <alignment horizontal="center" vertical="center"/>
    </xf>
    <xf numFmtId="0" fontId="6" fillId="0" borderId="10" xfId="396" applyFont="1" applyBorder="1" applyAlignment="1">
      <alignment horizontal="left" vertical="center" wrapText="1"/>
    </xf>
    <xf numFmtId="0" fontId="27" fillId="0" borderId="61" xfId="396" applyFont="1" applyBorder="1" applyAlignment="1">
      <alignment horizontal="center" vertical="center" wrapText="1"/>
    </xf>
    <xf numFmtId="3" fontId="27" fillId="0" borderId="189" xfId="396" applyNumberFormat="1" applyFont="1" applyBorder="1" applyAlignment="1">
      <alignment horizontal="center" vertical="center"/>
    </xf>
    <xf numFmtId="0" fontId="6" fillId="0" borderId="0" xfId="396" applyFont="1" applyAlignment="1">
      <alignment horizontal="center" vertical="center"/>
    </xf>
    <xf numFmtId="3" fontId="190" fillId="0" borderId="0" xfId="396" applyNumberFormat="1" applyFont="1" applyAlignment="1">
      <alignment vertical="center"/>
    </xf>
    <xf numFmtId="0" fontId="28" fillId="55" borderId="10" xfId="396" applyFont="1" applyFill="1" applyBorder="1" applyAlignment="1">
      <alignment vertical="center"/>
    </xf>
    <xf numFmtId="0" fontId="28" fillId="55" borderId="189" xfId="396" applyFont="1" applyFill="1" applyBorder="1" applyAlignment="1">
      <alignment vertical="center"/>
    </xf>
    <xf numFmtId="0" fontId="27" fillId="55" borderId="61" xfId="396" applyFont="1" applyFill="1" applyBorder="1" applyAlignment="1">
      <alignment vertical="center"/>
    </xf>
    <xf numFmtId="0" fontId="27" fillId="55" borderId="189" xfId="396" applyFont="1" applyFill="1" applyBorder="1" applyAlignment="1">
      <alignment vertical="center"/>
    </xf>
    <xf numFmtId="0" fontId="28" fillId="55" borderId="61" xfId="396" applyFont="1" applyFill="1" applyBorder="1" applyAlignment="1">
      <alignment vertical="center"/>
    </xf>
    <xf numFmtId="0" fontId="27" fillId="0" borderId="10" xfId="396" applyFont="1" applyBorder="1" applyAlignment="1">
      <alignment vertical="center"/>
    </xf>
    <xf numFmtId="0" fontId="27" fillId="0" borderId="61" xfId="396" applyFont="1" applyBorder="1" applyAlignment="1">
      <alignment vertical="center"/>
    </xf>
    <xf numFmtId="0" fontId="27" fillId="55" borderId="61" xfId="396" applyFont="1" applyFill="1" applyBorder="1" applyAlignment="1">
      <alignment horizontal="left" vertical="center" wrapText="1"/>
    </xf>
    <xf numFmtId="0" fontId="27" fillId="55" borderId="189" xfId="396" applyFont="1" applyFill="1" applyBorder="1" applyAlignment="1">
      <alignment horizontal="left" vertical="center" wrapText="1"/>
    </xf>
    <xf numFmtId="0" fontId="27" fillId="0" borderId="189" xfId="396" applyFont="1" applyBorder="1" applyAlignment="1">
      <alignment horizontal="center" vertical="center"/>
    </xf>
    <xf numFmtId="0" fontId="27" fillId="0" borderId="19" xfId="396" applyFont="1" applyBorder="1" applyAlignment="1">
      <alignment horizontal="center" vertical="center" wrapText="1"/>
    </xf>
    <xf numFmtId="0" fontId="192" fillId="0" borderId="0" xfId="396" applyFont="1"/>
    <xf numFmtId="0" fontId="6" fillId="0" borderId="0" xfId="396" applyFont="1" applyAlignment="1">
      <alignment vertical="center" wrapText="1"/>
    </xf>
    <xf numFmtId="0" fontId="6" fillId="0" borderId="0" xfId="396" applyFont="1" applyAlignment="1" applyProtection="1">
      <alignment horizontal="left" vertical="center" wrapText="1"/>
      <protection locked="0"/>
    </xf>
    <xf numFmtId="0" fontId="6" fillId="0" borderId="0" xfId="396" applyFont="1" applyAlignment="1">
      <alignment horizontal="center" vertical="center" wrapText="1"/>
    </xf>
    <xf numFmtId="0" fontId="41" fillId="0" borderId="0" xfId="396" applyFont="1"/>
    <xf numFmtId="14" fontId="185" fillId="0" borderId="0" xfId="396" applyNumberFormat="1" applyFont="1" applyAlignment="1">
      <alignment vertical="center"/>
    </xf>
    <xf numFmtId="3" fontId="6" fillId="0" borderId="0" xfId="396" applyNumberFormat="1" applyFont="1" applyAlignment="1">
      <alignment horizontal="center" vertical="center"/>
    </xf>
    <xf numFmtId="0" fontId="188" fillId="0" borderId="0" xfId="396" applyFont="1" applyAlignment="1">
      <alignment horizontal="left" vertical="center" wrapText="1"/>
    </xf>
    <xf numFmtId="14" fontId="6" fillId="0" borderId="0" xfId="396" applyNumberFormat="1" applyFont="1"/>
    <xf numFmtId="2" fontId="27" fillId="0" borderId="10" xfId="396" applyNumberFormat="1" applyFont="1" applyBorder="1" applyAlignment="1">
      <alignment horizontal="center" vertical="center"/>
    </xf>
    <xf numFmtId="0" fontId="185" fillId="0" borderId="0" xfId="396" applyFont="1" applyAlignment="1">
      <alignment vertical="center" wrapText="1"/>
    </xf>
    <xf numFmtId="0" fontId="6" fillId="0" borderId="0" xfId="396" applyFont="1" applyAlignment="1">
      <alignment horizontal="center" vertical="center" textRotation="90"/>
    </xf>
    <xf numFmtId="165" fontId="196" fillId="0" borderId="0" xfId="396" applyNumberFormat="1" applyFont="1" applyAlignment="1">
      <alignment vertical="center"/>
    </xf>
    <xf numFmtId="0" fontId="27" fillId="0" borderId="19" xfId="396" applyFont="1" applyBorder="1" applyAlignment="1">
      <alignment horizontal="center" vertical="center"/>
    </xf>
    <xf numFmtId="0" fontId="192" fillId="0" borderId="0" xfId="396" applyFont="1" applyAlignment="1">
      <alignment horizontal="center" vertical="center" wrapText="1"/>
    </xf>
    <xf numFmtId="0" fontId="192" fillId="0" borderId="0" xfId="396" applyFont="1" applyAlignment="1">
      <alignment vertical="center" wrapText="1"/>
    </xf>
    <xf numFmtId="0" fontId="192" fillId="0" borderId="0" xfId="396" applyFont="1" applyAlignment="1">
      <alignment vertical="center"/>
    </xf>
    <xf numFmtId="165" fontId="197" fillId="0" borderId="0" xfId="396" applyNumberFormat="1" applyFont="1" applyAlignment="1">
      <alignment vertical="center"/>
    </xf>
    <xf numFmtId="0" fontId="192" fillId="0" borderId="0" xfId="396" applyFont="1" applyAlignment="1">
      <alignment horizontal="center" vertical="center"/>
    </xf>
    <xf numFmtId="0" fontId="192" fillId="0" borderId="0" xfId="396" applyFont="1" applyAlignment="1">
      <alignment horizontal="center" vertical="center" textRotation="90"/>
    </xf>
    <xf numFmtId="0" fontId="6" fillId="0" borderId="0" xfId="396" applyFont="1" applyAlignment="1">
      <alignment horizontal="left" vertical="center" wrapText="1"/>
    </xf>
    <xf numFmtId="0" fontId="27" fillId="0" borderId="0" xfId="396" applyFont="1" applyAlignment="1">
      <alignment horizontal="center" vertical="center"/>
    </xf>
    <xf numFmtId="1" fontId="27" fillId="0" borderId="0" xfId="396" applyNumberFormat="1" applyFont="1" applyAlignment="1">
      <alignment horizontal="center" vertical="center"/>
    </xf>
    <xf numFmtId="0" fontId="193" fillId="0" borderId="0" xfId="396" applyFont="1" applyAlignment="1">
      <alignment horizontal="center" vertical="center" wrapText="1"/>
    </xf>
    <xf numFmtId="3" fontId="190" fillId="0" borderId="0" xfId="396" applyNumberFormat="1" applyFont="1" applyAlignment="1">
      <alignment horizontal="center" vertical="center"/>
    </xf>
    <xf numFmtId="0" fontId="186" fillId="0" borderId="0" xfId="396" applyFont="1" applyAlignment="1">
      <alignment vertical="center" wrapText="1"/>
    </xf>
    <xf numFmtId="0" fontId="6" fillId="0" borderId="0" xfId="396" applyFont="1" applyAlignment="1">
      <alignment vertical="top" wrapText="1"/>
    </xf>
    <xf numFmtId="0" fontId="185" fillId="0" borderId="0" xfId="396" applyFont="1"/>
    <xf numFmtId="0" fontId="196" fillId="0" borderId="0" xfId="396" applyFont="1" applyAlignment="1">
      <alignment vertical="center" wrapText="1"/>
    </xf>
    <xf numFmtId="0" fontId="185" fillId="0" borderId="0" xfId="396" applyFont="1" applyAlignment="1">
      <alignment horizontal="center" vertical="center" wrapText="1"/>
    </xf>
    <xf numFmtId="0" fontId="6" fillId="0" borderId="0" xfId="396" applyFont="1" applyAlignment="1">
      <alignment horizontal="right" vertical="center" wrapText="1"/>
    </xf>
    <xf numFmtId="0" fontId="6" fillId="0" borderId="0" xfId="396" applyFont="1" applyAlignment="1">
      <alignment horizontal="right"/>
    </xf>
    <xf numFmtId="0" fontId="185" fillId="0" borderId="0" xfId="396" applyFont="1" applyAlignment="1">
      <alignment horizontal="center" vertical="center"/>
    </xf>
    <xf numFmtId="0" fontId="41" fillId="0" borderId="0" xfId="396" applyFont="1" applyAlignment="1">
      <alignment horizontal="center" vertical="center"/>
    </xf>
    <xf numFmtId="9" fontId="6" fillId="0" borderId="0" xfId="396" applyNumberFormat="1" applyFont="1" applyAlignment="1">
      <alignment horizontal="center" vertical="center"/>
    </xf>
    <xf numFmtId="0" fontId="198" fillId="0" borderId="0" xfId="396" applyFont="1"/>
    <xf numFmtId="0" fontId="199" fillId="0" borderId="0" xfId="396" applyFont="1"/>
    <xf numFmtId="0" fontId="190" fillId="0" borderId="0" xfId="396" applyFont="1"/>
    <xf numFmtId="0" fontId="190" fillId="0" borderId="0" xfId="396" applyFont="1" applyAlignment="1">
      <alignment vertical="center" wrapText="1"/>
    </xf>
    <xf numFmtId="0" fontId="190" fillId="0" borderId="0" xfId="396" applyFont="1" applyAlignment="1">
      <alignment horizontal="center" vertical="center"/>
    </xf>
    <xf numFmtId="0" fontId="190" fillId="0" borderId="0" xfId="396" applyFont="1" applyAlignment="1">
      <alignment horizontal="center"/>
    </xf>
    <xf numFmtId="0" fontId="200" fillId="0" borderId="0" xfId="396" applyFont="1" applyAlignment="1">
      <alignment vertical="center" wrapText="1"/>
    </xf>
    <xf numFmtId="0" fontId="200" fillId="0" borderId="0" xfId="396" applyFont="1" applyAlignment="1">
      <alignment horizontal="center" vertical="center" wrapText="1"/>
    </xf>
    <xf numFmtId="0" fontId="199" fillId="0" borderId="0" xfId="396" applyFont="1" applyAlignment="1">
      <alignment vertical="center" wrapText="1"/>
    </xf>
    <xf numFmtId="0" fontId="195" fillId="0" borderId="0" xfId="396" applyFont="1"/>
    <xf numFmtId="0" fontId="201" fillId="0" borderId="0" xfId="396" applyFont="1" applyAlignment="1">
      <alignment vertical="center"/>
    </xf>
    <xf numFmtId="14" fontId="202" fillId="0" borderId="0" xfId="249" applyNumberFormat="1" applyFont="1" applyFill="1" applyAlignment="1"/>
    <xf numFmtId="0" fontId="203" fillId="0" borderId="0" xfId="396" applyFont="1"/>
    <xf numFmtId="0" fontId="56" fillId="0" borderId="0" xfId="249"/>
    <xf numFmtId="0" fontId="204" fillId="0" borderId="0" xfId="396" applyFont="1"/>
    <xf numFmtId="0" fontId="204" fillId="71" borderId="0" xfId="396" applyFont="1" applyFill="1"/>
    <xf numFmtId="14" fontId="203" fillId="0" borderId="0" xfId="396" applyNumberFormat="1" applyFont="1" applyProtection="1">
      <protection locked="0"/>
    </xf>
    <xf numFmtId="49" fontId="203" fillId="0" borderId="0" xfId="396" applyNumberFormat="1" applyFont="1" applyProtection="1">
      <protection locked="0"/>
    </xf>
    <xf numFmtId="0" fontId="204" fillId="0" borderId="137" xfId="396" applyFont="1" applyBorder="1" applyAlignment="1" applyProtection="1">
      <alignment horizontal="left" vertical="center" indent="1"/>
      <protection locked="0"/>
    </xf>
    <xf numFmtId="166" fontId="204" fillId="70" borderId="137" xfId="396" applyNumberFormat="1" applyFont="1" applyFill="1" applyBorder="1" applyAlignment="1" applyProtection="1">
      <alignment horizontal="center" vertical="center"/>
      <protection locked="0"/>
    </xf>
    <xf numFmtId="0" fontId="206" fillId="0" borderId="0" xfId="396" applyFont="1"/>
    <xf numFmtId="0" fontId="203" fillId="0" borderId="137" xfId="396" applyFont="1" applyBorder="1" applyAlignment="1" applyProtection="1">
      <alignment horizontal="left" vertical="center" indent="1"/>
      <protection locked="0"/>
    </xf>
    <xf numFmtId="3" fontId="204" fillId="70" borderId="137" xfId="396" applyNumberFormat="1" applyFont="1" applyFill="1" applyBorder="1" applyAlignment="1" applyProtection="1">
      <alignment horizontal="center" vertical="center"/>
      <protection locked="0"/>
    </xf>
    <xf numFmtId="0" fontId="203" fillId="70" borderId="137" xfId="396" applyFont="1" applyFill="1" applyBorder="1" applyAlignment="1" applyProtection="1">
      <alignment horizontal="center" vertical="center"/>
      <protection locked="0"/>
    </xf>
    <xf numFmtId="0" fontId="203" fillId="70" borderId="137" xfId="396" applyFont="1" applyFill="1" applyBorder="1" applyAlignment="1" applyProtection="1">
      <alignment horizontal="center"/>
      <protection locked="0"/>
    </xf>
    <xf numFmtId="0" fontId="204" fillId="70" borderId="137" xfId="396" applyFont="1" applyFill="1" applyBorder="1" applyAlignment="1">
      <alignment horizontal="left" indent="1"/>
    </xf>
    <xf numFmtId="0" fontId="204" fillId="70" borderId="137" xfId="396" applyFont="1" applyFill="1" applyBorder="1" applyAlignment="1">
      <alignment horizontal="center" vertical="center"/>
    </xf>
    <xf numFmtId="0" fontId="203" fillId="71" borderId="0" xfId="396" applyFont="1" applyFill="1"/>
    <xf numFmtId="0" fontId="203" fillId="0" borderId="137" xfId="396" applyFont="1" applyBorder="1" applyAlignment="1">
      <alignment horizontal="center" vertical="center"/>
    </xf>
    <xf numFmtId="1" fontId="203" fillId="0" borderId="137" xfId="396" applyNumberFormat="1" applyFont="1" applyBorder="1" applyAlignment="1">
      <alignment horizontal="left" vertical="center" wrapText="1"/>
    </xf>
    <xf numFmtId="0" fontId="203" fillId="0" borderId="137" xfId="396" applyFont="1" applyBorder="1" applyAlignment="1">
      <alignment horizontal="left" vertical="center"/>
    </xf>
    <xf numFmtId="3" fontId="203" fillId="0" borderId="137" xfId="396" applyNumberFormat="1" applyFont="1" applyBorder="1" applyAlignment="1">
      <alignment horizontal="left" vertical="center" indent="2"/>
    </xf>
    <xf numFmtId="3" fontId="203" fillId="0" borderId="137" xfId="396" applyNumberFormat="1" applyFont="1" applyBorder="1" applyAlignment="1">
      <alignment horizontal="center" vertical="center"/>
    </xf>
    <xf numFmtId="3" fontId="203" fillId="0" borderId="137" xfId="396" applyNumberFormat="1" applyFont="1" applyBorder="1" applyAlignment="1">
      <alignment horizontal="left" indent="2"/>
    </xf>
    <xf numFmtId="3" fontId="203" fillId="0" borderId="137" xfId="396" applyNumberFormat="1" applyFont="1" applyBorder="1" applyAlignment="1">
      <alignment horizontal="center"/>
    </xf>
    <xf numFmtId="178" fontId="203" fillId="0" borderId="137" xfId="396" applyNumberFormat="1" applyFont="1" applyBorder="1" applyAlignment="1">
      <alignment horizontal="left" indent="2"/>
    </xf>
    <xf numFmtId="0" fontId="203" fillId="0" borderId="137" xfId="396" applyFont="1" applyBorder="1" applyAlignment="1">
      <alignment horizontal="left" vertical="center" indent="2"/>
    </xf>
    <xf numFmtId="0" fontId="203" fillId="0" borderId="137" xfId="396" applyFont="1" applyBorder="1" applyAlignment="1">
      <alignment vertical="center"/>
    </xf>
    <xf numFmtId="1" fontId="203" fillId="0" borderId="137" xfId="396" applyNumberFormat="1" applyFont="1" applyBorder="1" applyAlignment="1">
      <alignment horizontal="left" vertical="center" wrapText="1" indent="2"/>
    </xf>
    <xf numFmtId="1" fontId="203" fillId="0" borderId="137" xfId="396" applyNumberFormat="1" applyFont="1" applyBorder="1" applyAlignment="1">
      <alignment horizontal="left" vertical="center" indent="2"/>
    </xf>
    <xf numFmtId="0" fontId="207" fillId="52" borderId="84" xfId="396" applyFont="1" applyFill="1" applyBorder="1" applyAlignment="1">
      <alignment horizontal="centerContinuous"/>
    </xf>
    <xf numFmtId="0" fontId="207" fillId="52" borderId="63" xfId="396" applyFont="1" applyFill="1" applyBorder="1" applyAlignment="1">
      <alignment horizontal="centerContinuous"/>
    </xf>
    <xf numFmtId="0" fontId="207" fillId="52" borderId="85" xfId="396" applyFont="1" applyFill="1" applyBorder="1" applyAlignment="1">
      <alignment horizontal="centerContinuous"/>
    </xf>
    <xf numFmtId="0" fontId="207" fillId="0" borderId="0" xfId="396" applyFont="1" applyAlignment="1">
      <alignment horizontal="left" vertical="center"/>
    </xf>
    <xf numFmtId="0" fontId="207" fillId="0" borderId="0" xfId="396" applyFont="1" applyAlignment="1">
      <alignment horizontal="centerContinuous"/>
    </xf>
    <xf numFmtId="0" fontId="204" fillId="0" borderId="83" xfId="396" applyFont="1" applyBorder="1"/>
    <xf numFmtId="0" fontId="204" fillId="0" borderId="0" xfId="396" applyFont="1" applyAlignment="1">
      <alignment horizontal="center" vertical="center"/>
    </xf>
    <xf numFmtId="0" fontId="204" fillId="0" borderId="86" xfId="396" applyFont="1" applyBorder="1" applyAlignment="1">
      <alignment horizontal="center" vertical="center"/>
    </xf>
    <xf numFmtId="0" fontId="204" fillId="0" borderId="0" xfId="396" applyFont="1" applyAlignment="1">
      <alignment horizontal="center"/>
    </xf>
    <xf numFmtId="1" fontId="204" fillId="0" borderId="0" xfId="396" applyNumberFormat="1" applyFont="1" applyAlignment="1">
      <alignment horizontal="center"/>
    </xf>
    <xf numFmtId="3" fontId="204" fillId="0" borderId="86" xfId="396" applyNumberFormat="1" applyFont="1" applyBorder="1"/>
    <xf numFmtId="0" fontId="209" fillId="0" borderId="0" xfId="396" applyFont="1"/>
    <xf numFmtId="0" fontId="209" fillId="0" borderId="0" xfId="396" applyFont="1" applyAlignment="1">
      <alignment horizontal="center" vertical="center"/>
    </xf>
    <xf numFmtId="166" fontId="209" fillId="0" borderId="0" xfId="396" applyNumberFormat="1" applyFont="1" applyAlignment="1">
      <alignment horizontal="center" vertical="center"/>
    </xf>
    <xf numFmtId="178" fontId="203" fillId="0" borderId="137" xfId="396" applyNumberFormat="1" applyFont="1" applyBorder="1" applyAlignment="1">
      <alignment horizontal="left" vertical="center" indent="2"/>
    </xf>
    <xf numFmtId="0" fontId="204" fillId="0" borderId="87" xfId="396" applyFont="1" applyBorder="1"/>
    <xf numFmtId="0" fontId="204" fillId="0" borderId="88" xfId="396" applyFont="1" applyBorder="1" applyAlignment="1">
      <alignment horizontal="center"/>
    </xf>
    <xf numFmtId="0" fontId="209" fillId="0" borderId="89" xfId="396" applyFont="1" applyBorder="1" applyAlignment="1">
      <alignment horizontal="center"/>
    </xf>
    <xf numFmtId="3" fontId="204" fillId="0" borderId="0" xfId="396" applyNumberFormat="1" applyFont="1"/>
    <xf numFmtId="166" fontId="203" fillId="0" borderId="0" xfId="396" applyNumberFormat="1" applyFont="1"/>
    <xf numFmtId="0" fontId="203" fillId="0" borderId="0" xfId="396" applyFont="1" applyAlignment="1">
      <alignment horizontal="center" vertical="center"/>
    </xf>
    <xf numFmtId="0" fontId="203" fillId="0" borderId="0" xfId="396" applyFont="1" applyAlignment="1">
      <alignment horizontal="center" vertical="center" wrapText="1"/>
    </xf>
    <xf numFmtId="0" fontId="203" fillId="0" borderId="0" xfId="396" applyFont="1" applyAlignment="1">
      <alignment vertical="center"/>
    </xf>
    <xf numFmtId="0" fontId="203" fillId="0" borderId="0" xfId="396" applyFont="1" applyAlignment="1">
      <alignment horizontal="center" wrapText="1"/>
    </xf>
    <xf numFmtId="0" fontId="203" fillId="0" borderId="0" xfId="396" applyFont="1" applyAlignment="1">
      <alignment horizontal="center"/>
    </xf>
    <xf numFmtId="0" fontId="211" fillId="0" borderId="0" xfId="396" applyFont="1"/>
    <xf numFmtId="0" fontId="1" fillId="0" borderId="0" xfId="396" applyAlignment="1">
      <alignment wrapText="1"/>
    </xf>
    <xf numFmtId="0" fontId="6" fillId="55" borderId="10" xfId="396" applyFont="1" applyFill="1" applyBorder="1" applyAlignment="1">
      <alignment horizontal="center" vertical="center"/>
    </xf>
    <xf numFmtId="0" fontId="1" fillId="0" borderId="0" xfId="396" applyAlignment="1">
      <alignment horizontal="center" vertical="center"/>
    </xf>
    <xf numFmtId="0" fontId="6" fillId="0" borderId="10" xfId="396" applyFont="1" applyBorder="1" applyAlignment="1">
      <alignment horizontal="center"/>
    </xf>
    <xf numFmtId="0" fontId="1" fillId="0" borderId="10" xfId="396" applyBorder="1"/>
    <xf numFmtId="0" fontId="6" fillId="0" borderId="10" xfId="396" applyFont="1" applyBorder="1" applyAlignment="1">
      <alignment horizontal="center" vertical="center"/>
    </xf>
    <xf numFmtId="0" fontId="6" fillId="0" borderId="10" xfId="396" applyFont="1" applyBorder="1"/>
    <xf numFmtId="2" fontId="6" fillId="0" borderId="10" xfId="396" applyNumberFormat="1" applyFont="1" applyBorder="1" applyAlignment="1">
      <alignment horizontal="center" vertical="center"/>
    </xf>
    <xf numFmtId="0" fontId="1" fillId="53" borderId="0" xfId="396" applyFill="1"/>
    <xf numFmtId="0" fontId="212" fillId="0" borderId="0" xfId="396" applyFont="1" applyAlignment="1">
      <alignment horizontal="center" vertical="center"/>
    </xf>
    <xf numFmtId="0" fontId="212" fillId="0" borderId="0" xfId="396" applyFont="1" applyAlignment="1">
      <alignment horizontal="center"/>
    </xf>
    <xf numFmtId="0" fontId="185" fillId="55" borderId="137" xfId="396" applyFont="1" applyFill="1" applyBorder="1" applyAlignment="1">
      <alignment vertical="center" wrapText="1"/>
    </xf>
    <xf numFmtId="0" fontId="6" fillId="55" borderId="137" xfId="396" applyFont="1" applyFill="1" applyBorder="1" applyAlignment="1">
      <alignment horizontal="center" vertical="center" wrapText="1"/>
    </xf>
    <xf numFmtId="0" fontId="1" fillId="0" borderId="137" xfId="396" applyBorder="1"/>
    <xf numFmtId="0" fontId="6" fillId="0" borderId="137" xfId="396" applyFont="1" applyBorder="1"/>
    <xf numFmtId="0" fontId="6" fillId="0" borderId="137" xfId="396" applyFont="1" applyBorder="1" applyAlignment="1">
      <alignment horizontal="center" vertical="center"/>
    </xf>
    <xf numFmtId="0" fontId="6" fillId="0" borderId="137" xfId="396" applyFont="1" applyBorder="1" applyAlignment="1">
      <alignment horizontal="center"/>
    </xf>
    <xf numFmtId="0" fontId="1" fillId="0" borderId="137" xfId="396" applyBorder="1" applyAlignment="1">
      <alignment horizontal="center" vertical="center"/>
    </xf>
    <xf numFmtId="0" fontId="185" fillId="55" borderId="137" xfId="396" applyFont="1" applyFill="1" applyBorder="1" applyAlignment="1">
      <alignment horizontal="left" vertical="center" wrapText="1"/>
    </xf>
    <xf numFmtId="0" fontId="6" fillId="55" borderId="196" xfId="396" applyFont="1" applyFill="1" applyBorder="1" applyAlignment="1">
      <alignment horizontal="center" vertical="center" wrapText="1"/>
    </xf>
    <xf numFmtId="0" fontId="6" fillId="53" borderId="137" xfId="396" applyFont="1" applyFill="1" applyBorder="1" applyAlignment="1">
      <alignment horizontal="center" vertical="center" wrapText="1"/>
    </xf>
    <xf numFmtId="0" fontId="6" fillId="0" borderId="196" xfId="396" applyFont="1" applyBorder="1" applyAlignment="1">
      <alignment horizontal="center" vertical="center"/>
    </xf>
    <xf numFmtId="0" fontId="6" fillId="53" borderId="137" xfId="396" applyFont="1" applyFill="1" applyBorder="1" applyAlignment="1">
      <alignment horizontal="center"/>
    </xf>
    <xf numFmtId="0" fontId="1" fillId="53" borderId="137" xfId="396" applyFill="1" applyBorder="1" applyAlignment="1">
      <alignment horizontal="center"/>
    </xf>
    <xf numFmtId="0" fontId="1" fillId="0" borderId="137" xfId="396" applyBorder="1" applyAlignment="1">
      <alignment horizontal="center"/>
    </xf>
    <xf numFmtId="0" fontId="6" fillId="53" borderId="137" xfId="396" applyFont="1" applyFill="1" applyBorder="1" applyAlignment="1">
      <alignment horizontal="center" vertical="center"/>
    </xf>
    <xf numFmtId="0" fontId="6" fillId="0" borderId="0" xfId="396" applyFont="1" applyAlignment="1">
      <alignment horizontal="center"/>
    </xf>
    <xf numFmtId="2" fontId="6" fillId="0" borderId="10" xfId="396" applyNumberFormat="1" applyFont="1" applyBorder="1" applyAlignment="1">
      <alignment horizontal="left" vertical="center"/>
    </xf>
    <xf numFmtId="0" fontId="1" fillId="72" borderId="0" xfId="396" applyFill="1"/>
    <xf numFmtId="2" fontId="6" fillId="0" borderId="0" xfId="396" applyNumberFormat="1" applyFont="1" applyAlignment="1">
      <alignment horizontal="left" vertical="center"/>
    </xf>
    <xf numFmtId="0" fontId="1" fillId="73" borderId="0" xfId="396" applyFill="1"/>
    <xf numFmtId="0" fontId="6" fillId="55" borderId="0" xfId="396" applyFont="1" applyFill="1" applyAlignment="1">
      <alignment horizontal="center" vertical="center" wrapText="1"/>
    </xf>
    <xf numFmtId="0" fontId="213" fillId="0" borderId="0" xfId="396" applyFont="1"/>
    <xf numFmtId="0" fontId="6" fillId="55" borderId="17" xfId="396" applyFont="1" applyFill="1" applyBorder="1" applyAlignment="1">
      <alignment horizontal="center" vertical="center" wrapText="1"/>
    </xf>
    <xf numFmtId="0" fontId="185" fillId="55" borderId="17" xfId="396" applyFont="1" applyFill="1" applyBorder="1" applyAlignment="1">
      <alignment vertical="center" wrapText="1"/>
    </xf>
    <xf numFmtId="0" fontId="6" fillId="55" borderId="17" xfId="396" applyFont="1" applyFill="1" applyBorder="1" applyAlignment="1">
      <alignment vertical="center" wrapText="1"/>
    </xf>
    <xf numFmtId="0" fontId="1" fillId="0" borderId="0" xfId="396" applyAlignment="1">
      <alignment horizontal="center" vertical="center" wrapText="1"/>
    </xf>
    <xf numFmtId="2" fontId="6" fillId="0" borderId="17" xfId="396" applyNumberFormat="1" applyFont="1" applyBorder="1" applyAlignment="1">
      <alignment horizontal="center" vertical="center"/>
    </xf>
    <xf numFmtId="1" fontId="6" fillId="0" borderId="10" xfId="396" applyNumberFormat="1" applyFont="1" applyBorder="1" applyAlignment="1">
      <alignment horizontal="center" vertical="center"/>
    </xf>
    <xf numFmtId="2" fontId="6" fillId="0" borderId="15" xfId="396" applyNumberFormat="1" applyFont="1" applyBorder="1" applyAlignment="1">
      <alignment horizontal="center" vertical="center"/>
    </xf>
    <xf numFmtId="1" fontId="6" fillId="0" borderId="15" xfId="396" applyNumberFormat="1" applyFont="1" applyBorder="1" applyAlignment="1">
      <alignment horizontal="center" vertical="center"/>
    </xf>
    <xf numFmtId="2" fontId="1" fillId="0" borderId="0" xfId="396" applyNumberFormat="1"/>
    <xf numFmtId="0" fontId="1" fillId="55" borderId="137" xfId="396" applyFill="1" applyBorder="1" applyAlignment="1">
      <alignment horizontal="center" vertical="center"/>
    </xf>
    <xf numFmtId="0" fontId="6" fillId="0" borderId="137" xfId="396" applyFont="1" applyBorder="1" applyAlignment="1">
      <alignment horizontal="right" vertical="center"/>
    </xf>
    <xf numFmtId="0" fontId="6" fillId="0" borderId="137" xfId="396" applyFont="1" applyBorder="1" applyAlignment="1">
      <alignment vertical="center"/>
    </xf>
    <xf numFmtId="0" fontId="6" fillId="0" borderId="137" xfId="396" applyFont="1" applyBorder="1" applyAlignment="1">
      <alignment vertical="center" wrapText="1"/>
    </xf>
    <xf numFmtId="0" fontId="1" fillId="0" borderId="196" xfId="396" applyBorder="1"/>
    <xf numFmtId="0" fontId="1" fillId="55" borderId="137" xfId="396" applyFill="1" applyBorder="1" applyAlignment="1">
      <alignment horizontal="center" vertical="center" wrapText="1"/>
    </xf>
    <xf numFmtId="0" fontId="1" fillId="55" borderId="196" xfId="396" applyFill="1" applyBorder="1" applyAlignment="1">
      <alignment horizontal="center" vertical="center"/>
    </xf>
    <xf numFmtId="0" fontId="6" fillId="53" borderId="137" xfId="396" applyFont="1" applyFill="1" applyBorder="1"/>
    <xf numFmtId="0" fontId="6" fillId="0" borderId="137" xfId="396" applyFont="1" applyBorder="1" applyAlignment="1">
      <alignment horizontal="right"/>
    </xf>
    <xf numFmtId="0" fontId="6" fillId="53" borderId="137" xfId="396" applyFont="1" applyFill="1" applyBorder="1" applyAlignment="1">
      <alignment horizontal="right"/>
    </xf>
    <xf numFmtId="0" fontId="1" fillId="53" borderId="137" xfId="396" applyFill="1" applyBorder="1"/>
    <xf numFmtId="0" fontId="185" fillId="0" borderId="10" xfId="396" applyFont="1" applyBorder="1"/>
    <xf numFmtId="0" fontId="1" fillId="55" borderId="10" xfId="396" applyFill="1" applyBorder="1" applyAlignment="1">
      <alignment horizontal="center" vertical="center" wrapText="1"/>
    </xf>
    <xf numFmtId="178" fontId="214" fillId="0" borderId="10" xfId="397" applyNumberFormat="1" applyFont="1" applyBorder="1" applyAlignment="1">
      <alignment horizontal="center"/>
    </xf>
    <xf numFmtId="3" fontId="214" fillId="0" borderId="10" xfId="397" applyNumberFormat="1" applyFont="1" applyBorder="1" applyAlignment="1">
      <alignment horizontal="center"/>
    </xf>
    <xf numFmtId="0" fontId="214" fillId="0" borderId="137" xfId="396" applyFont="1" applyBorder="1"/>
    <xf numFmtId="0" fontId="1" fillId="55" borderId="196" xfId="396" applyFill="1" applyBorder="1" applyAlignment="1">
      <alignment horizontal="center" vertical="center" wrapText="1"/>
    </xf>
    <xf numFmtId="1" fontId="6" fillId="0" borderId="137" xfId="396" applyNumberFormat="1" applyFont="1" applyBorder="1" applyAlignment="1">
      <alignment horizontal="center"/>
    </xf>
    <xf numFmtId="0" fontId="214" fillId="0" borderId="137" xfId="396" applyFont="1" applyBorder="1" applyAlignment="1">
      <alignment horizontal="center"/>
    </xf>
    <xf numFmtId="2" fontId="214" fillId="0" borderId="137" xfId="396" applyNumberFormat="1" applyFont="1" applyBorder="1" applyAlignment="1">
      <alignment horizontal="center"/>
    </xf>
    <xf numFmtId="2" fontId="6" fillId="0" borderId="137" xfId="396" applyNumberFormat="1" applyFont="1" applyBorder="1" applyAlignment="1">
      <alignment horizontal="center"/>
    </xf>
    <xf numFmtId="3" fontId="32" fillId="0" borderId="22" xfId="0" applyNumberFormat="1" applyFont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0" fontId="80" fillId="53" borderId="29" xfId="0" applyFont="1" applyFill="1" applyBorder="1" applyAlignment="1">
      <alignment vertical="center"/>
    </xf>
    <xf numFmtId="0" fontId="32" fillId="0" borderId="2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2" fillId="0" borderId="0" xfId="0" applyFont="1" applyAlignment="1" applyProtection="1">
      <alignment horizontal="left" vertical="top" wrapText="1"/>
      <protection hidden="1"/>
    </xf>
    <xf numFmtId="0" fontId="69" fillId="0" borderId="0" xfId="0" applyFont="1" applyAlignment="1" applyProtection="1">
      <alignment horizontal="left" vertical="center" wrapText="1"/>
      <protection hidden="1"/>
    </xf>
    <xf numFmtId="0" fontId="32" fillId="0" borderId="25" xfId="0" applyFont="1" applyBorder="1" applyAlignment="1" applyProtection="1">
      <alignment horizontal="left" vertical="center" wrapText="1"/>
      <protection hidden="1"/>
    </xf>
    <xf numFmtId="2" fontId="32" fillId="0" borderId="12" xfId="0" applyNumberFormat="1" applyFont="1" applyBorder="1" applyAlignment="1">
      <alignment horizontal="center" vertical="center" wrapText="1"/>
    </xf>
    <xf numFmtId="0" fontId="35" fillId="0" borderId="17" xfId="339" applyFont="1" applyBorder="1" applyAlignment="1">
      <alignment vertical="center" wrapText="1"/>
    </xf>
    <xf numFmtId="0" fontId="160" fillId="0" borderId="19" xfId="0" applyFont="1" applyBorder="1" applyAlignment="1" applyProtection="1">
      <alignment horizontal="right" wrapText="1"/>
      <protection hidden="1"/>
    </xf>
    <xf numFmtId="1" fontId="35" fillId="53" borderId="32" xfId="0" applyNumberFormat="1" applyFont="1" applyFill="1" applyBorder="1" applyAlignment="1" applyProtection="1">
      <alignment horizontal="right" vertical="center"/>
      <protection hidden="1"/>
    </xf>
    <xf numFmtId="1" fontId="216" fillId="53" borderId="0" xfId="318" applyNumberFormat="1" applyFont="1" applyFill="1" applyAlignment="1">
      <alignment horizontal="center" vertical="center"/>
    </xf>
    <xf numFmtId="177" fontId="73" fillId="0" borderId="0" xfId="0" applyNumberFormat="1" applyFont="1" applyAlignment="1">
      <alignment vertical="center"/>
    </xf>
    <xf numFmtId="0" fontId="31" fillId="0" borderId="15" xfId="0" applyFont="1" applyBorder="1" applyAlignment="1" applyProtection="1">
      <alignment horizontal="center" vertical="center"/>
      <protection hidden="1"/>
    </xf>
    <xf numFmtId="0" fontId="31" fillId="0" borderId="56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left" vertical="center" wrapText="1"/>
      <protection hidden="1"/>
    </xf>
    <xf numFmtId="0" fontId="32" fillId="0" borderId="19" xfId="0" applyFont="1" applyBorder="1" applyAlignment="1" applyProtection="1">
      <alignment horizontal="left" vertical="center" wrapText="1"/>
      <protection hidden="1"/>
    </xf>
    <xf numFmtId="0" fontId="31" fillId="52" borderId="17" xfId="0" applyFont="1" applyFill="1" applyBorder="1" applyAlignment="1" applyProtection="1">
      <alignment horizontal="center" vertical="center" wrapText="1"/>
      <protection hidden="1"/>
    </xf>
    <xf numFmtId="0" fontId="31" fillId="52" borderId="15" xfId="0" applyFont="1" applyFill="1" applyBorder="1" applyAlignment="1" applyProtection="1">
      <alignment horizontal="center" vertical="center" wrapText="1"/>
      <protection hidden="1"/>
    </xf>
    <xf numFmtId="0" fontId="143" fillId="59" borderId="0" xfId="0" applyFont="1" applyFill="1" applyAlignment="1">
      <alignment horizontal="center" vertical="center" wrapText="1"/>
    </xf>
    <xf numFmtId="0" fontId="143" fillId="59" borderId="28" xfId="0" applyFont="1" applyFill="1" applyBorder="1" applyAlignment="1">
      <alignment horizontal="center" vertical="center" wrapText="1"/>
    </xf>
    <xf numFmtId="0" fontId="37" fillId="0" borderId="25" xfId="340" applyFont="1" applyBorder="1" applyAlignment="1" applyProtection="1">
      <alignment horizontal="center" vertical="center"/>
      <protection hidden="1"/>
    </xf>
    <xf numFmtId="0" fontId="31" fillId="64" borderId="21" xfId="0" applyFont="1" applyFill="1" applyBorder="1" applyAlignment="1" applyProtection="1">
      <alignment horizontal="center" vertical="center" wrapText="1"/>
      <protection hidden="1"/>
    </xf>
    <xf numFmtId="0" fontId="31" fillId="64" borderId="19" xfId="0" applyFont="1" applyFill="1" applyBorder="1" applyAlignment="1" applyProtection="1">
      <alignment horizontal="center" vertical="center" wrapText="1"/>
      <protection hidden="1"/>
    </xf>
    <xf numFmtId="0" fontId="32" fillId="0" borderId="133" xfId="0" applyFont="1" applyBorder="1" applyAlignment="1" applyProtection="1">
      <alignment horizontal="left" vertical="center" wrapText="1"/>
      <protection hidden="1"/>
    </xf>
    <xf numFmtId="0" fontId="32" fillId="0" borderId="134" xfId="0" applyFont="1" applyBorder="1" applyAlignment="1" applyProtection="1">
      <alignment horizontal="left" vertical="center" wrapText="1"/>
      <protection hidden="1"/>
    </xf>
    <xf numFmtId="0" fontId="31" fillId="58" borderId="15" xfId="0" applyFont="1" applyFill="1" applyBorder="1" applyAlignment="1" applyProtection="1">
      <alignment horizontal="center" vertical="center" wrapText="1"/>
      <protection hidden="1"/>
    </xf>
    <xf numFmtId="0" fontId="32" fillId="0" borderId="10" xfId="0" applyFont="1" applyBorder="1" applyAlignment="1" applyProtection="1">
      <alignment horizontal="left" vertical="center" wrapText="1"/>
      <protection hidden="1"/>
    </xf>
    <xf numFmtId="0" fontId="32" fillId="0" borderId="81" xfId="0" applyFont="1" applyBorder="1" applyAlignment="1" applyProtection="1">
      <alignment horizontal="left" vertical="center" wrapText="1"/>
      <protection hidden="1"/>
    </xf>
    <xf numFmtId="0" fontId="32" fillId="0" borderId="82" xfId="0" applyFont="1" applyBorder="1" applyAlignment="1" applyProtection="1">
      <alignment horizontal="left" vertical="center" wrapText="1"/>
      <protection hidden="1"/>
    </xf>
    <xf numFmtId="0" fontId="32" fillId="52" borderId="21" xfId="0" applyFont="1" applyFill="1" applyBorder="1" applyAlignment="1" applyProtection="1">
      <alignment horizontal="left" vertical="center" wrapText="1"/>
      <protection hidden="1"/>
    </xf>
    <xf numFmtId="0" fontId="32" fillId="52" borderId="19" xfId="0" applyFont="1" applyFill="1" applyBorder="1" applyAlignment="1" applyProtection="1">
      <alignment horizontal="left" vertical="center" wrapText="1"/>
      <protection hidden="1"/>
    </xf>
    <xf numFmtId="0" fontId="32" fillId="0" borderId="32" xfId="0" applyFont="1" applyBorder="1" applyAlignment="1" applyProtection="1">
      <alignment horizontal="left" vertical="center" wrapText="1"/>
      <protection hidden="1"/>
    </xf>
    <xf numFmtId="0" fontId="32" fillId="0" borderId="28" xfId="0" applyFont="1" applyBorder="1" applyAlignment="1" applyProtection="1">
      <alignment horizontal="left" vertical="center" wrapText="1"/>
      <protection hidden="1"/>
    </xf>
    <xf numFmtId="0" fontId="32" fillId="58" borderId="27" xfId="0" applyFont="1" applyFill="1" applyBorder="1" applyAlignment="1" applyProtection="1">
      <alignment horizontal="left" vertical="center" wrapText="1"/>
      <protection hidden="1"/>
    </xf>
    <xf numFmtId="0" fontId="32" fillId="58" borderId="43" xfId="0" applyFont="1" applyFill="1" applyBorder="1" applyAlignment="1" applyProtection="1">
      <alignment horizontal="left" vertical="center" wrapText="1"/>
      <protection hidden="1"/>
    </xf>
    <xf numFmtId="0" fontId="31" fillId="62" borderId="15" xfId="0" applyFont="1" applyFill="1" applyBorder="1" applyAlignment="1" applyProtection="1">
      <alignment horizontal="center" vertical="center" wrapText="1"/>
      <protection hidden="1"/>
    </xf>
    <xf numFmtId="0" fontId="31" fillId="62" borderId="56" xfId="0" applyFont="1" applyFill="1" applyBorder="1" applyAlignment="1" applyProtection="1">
      <alignment horizontal="center" vertical="center" wrapText="1"/>
      <protection hidden="1"/>
    </xf>
    <xf numFmtId="0" fontId="125" fillId="59" borderId="0" xfId="0" applyFont="1" applyFill="1" applyAlignment="1">
      <alignment horizontal="center" vertical="center"/>
    </xf>
    <xf numFmtId="0" fontId="125" fillId="57" borderId="118" xfId="0" applyFont="1" applyFill="1" applyBorder="1" applyAlignment="1">
      <alignment horizontal="center" vertical="center"/>
    </xf>
    <xf numFmtId="0" fontId="32" fillId="62" borderId="199" xfId="0" applyFont="1" applyFill="1" applyBorder="1" applyAlignment="1" applyProtection="1">
      <alignment horizontal="left" vertical="center" wrapText="1"/>
      <protection hidden="1"/>
    </xf>
    <xf numFmtId="0" fontId="32" fillId="62" borderId="200" xfId="0" applyFont="1" applyFill="1" applyBorder="1" applyAlignment="1" applyProtection="1">
      <alignment horizontal="left" vertical="center" wrapText="1"/>
      <protection hidden="1"/>
    </xf>
    <xf numFmtId="0" fontId="73" fillId="0" borderId="131" xfId="0" applyFont="1" applyBorder="1" applyAlignment="1" applyProtection="1">
      <alignment horizontal="left" vertical="center" wrapText="1"/>
      <protection hidden="1"/>
    </xf>
    <xf numFmtId="0" fontId="34" fillId="0" borderId="142" xfId="0" applyFont="1" applyBorder="1" applyAlignment="1">
      <alignment horizontal="center" vertical="center" wrapText="1"/>
    </xf>
    <xf numFmtId="0" fontId="34" fillId="0" borderId="143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center"/>
    </xf>
    <xf numFmtId="0" fontId="13" fillId="0" borderId="145" xfId="0" applyFont="1" applyBorder="1" applyAlignment="1">
      <alignment horizontal="center"/>
    </xf>
    <xf numFmtId="0" fontId="13" fillId="0" borderId="146" xfId="0" applyFont="1" applyBorder="1" applyAlignment="1">
      <alignment horizontal="center"/>
    </xf>
    <xf numFmtId="0" fontId="13" fillId="0" borderId="147" xfId="0" applyFont="1" applyBorder="1" applyAlignment="1">
      <alignment horizontal="center"/>
    </xf>
    <xf numFmtId="0" fontId="74" fillId="0" borderId="99" xfId="0" applyFont="1" applyBorder="1" applyAlignment="1">
      <alignment horizontal="left" vertical="center"/>
    </xf>
    <xf numFmtId="0" fontId="60" fillId="62" borderId="21" xfId="0" applyFont="1" applyFill="1" applyBorder="1" applyAlignment="1">
      <alignment horizontal="center" vertical="center" wrapText="1"/>
    </xf>
    <xf numFmtId="0" fontId="60" fillId="62" borderId="19" xfId="0" applyFont="1" applyFill="1" applyBorder="1" applyAlignment="1">
      <alignment horizontal="center" vertical="center" wrapText="1"/>
    </xf>
    <xf numFmtId="1" fontId="102" fillId="62" borderId="21" xfId="0" applyNumberFormat="1" applyFont="1" applyFill="1" applyBorder="1" applyAlignment="1" applyProtection="1">
      <alignment horizontal="center" vertical="center" wrapText="1"/>
      <protection hidden="1"/>
    </xf>
    <xf numFmtId="1" fontId="102" fillId="62" borderId="13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73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2" fontId="35" fillId="0" borderId="73" xfId="0" applyNumberFormat="1" applyFont="1" applyBorder="1" applyAlignment="1" applyProtection="1">
      <alignment horizontal="center" vertical="center" wrapText="1"/>
      <protection hidden="1"/>
    </xf>
    <xf numFmtId="0" fontId="32" fillId="0" borderId="125" xfId="0" applyFont="1" applyBorder="1" applyAlignment="1">
      <alignment horizontal="left" vertical="center"/>
    </xf>
    <xf numFmtId="0" fontId="32" fillId="0" borderId="126" xfId="0" applyFont="1" applyBorder="1" applyAlignment="1">
      <alignment horizontal="left" vertical="center"/>
    </xf>
    <xf numFmtId="0" fontId="32" fillId="0" borderId="126" xfId="0" applyFont="1" applyBorder="1" applyAlignment="1">
      <alignment horizontal="center" vertical="center"/>
    </xf>
    <xf numFmtId="0" fontId="35" fillId="0" borderId="126" xfId="0" applyFont="1" applyBorder="1" applyAlignment="1">
      <alignment horizontal="center" vertical="center"/>
    </xf>
    <xf numFmtId="0" fontId="35" fillId="0" borderId="128" xfId="0" applyFont="1" applyBorder="1" applyAlignment="1">
      <alignment horizontal="center" vertical="center"/>
    </xf>
    <xf numFmtId="0" fontId="35" fillId="0" borderId="0" xfId="0" applyFont="1" applyAlignment="1">
      <alignment horizontal="center" vertical="top" wrapText="1"/>
    </xf>
    <xf numFmtId="0" fontId="35" fillId="0" borderId="106" xfId="0" applyFont="1" applyBorder="1" applyAlignment="1">
      <alignment horizontal="center" vertical="top" wrapText="1"/>
    </xf>
    <xf numFmtId="0" fontId="32" fillId="0" borderId="10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06" xfId="0" applyFont="1" applyBorder="1" applyAlignment="1">
      <alignment horizontal="center" vertical="center"/>
    </xf>
    <xf numFmtId="0" fontId="32" fillId="0" borderId="97" xfId="0" applyFont="1" applyBorder="1" applyAlignment="1">
      <alignment horizontal="left" vertical="center" wrapText="1"/>
    </xf>
    <xf numFmtId="0" fontId="32" fillId="0" borderId="77" xfId="0" applyFont="1" applyBorder="1" applyAlignment="1">
      <alignment horizontal="left" vertical="center" wrapText="1"/>
    </xf>
    <xf numFmtId="0" fontId="35" fillId="0" borderId="75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74" fillId="0" borderId="99" xfId="0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2" fillId="0" borderId="123" xfId="0" applyFont="1" applyBorder="1" applyAlignment="1">
      <alignment horizontal="center" vertical="center"/>
    </xf>
    <xf numFmtId="0" fontId="32" fillId="0" borderId="124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2" fontId="59" fillId="0" borderId="17" xfId="0" applyNumberFormat="1" applyFont="1" applyBorder="1" applyAlignment="1">
      <alignment horizontal="center" vertical="center" wrapText="1"/>
    </xf>
    <xf numFmtId="2" fontId="59" fillId="0" borderId="18" xfId="0" applyNumberFormat="1" applyFont="1" applyBorder="1" applyAlignment="1">
      <alignment horizontal="center" vertical="center" wrapText="1"/>
    </xf>
    <xf numFmtId="166" fontId="59" fillId="0" borderId="17" xfId="0" applyNumberFormat="1" applyFont="1" applyBorder="1" applyAlignment="1" applyProtection="1">
      <alignment horizontal="center" vertical="center" wrapText="1"/>
      <protection hidden="1"/>
    </xf>
    <xf numFmtId="166" fontId="59" fillId="0" borderId="18" xfId="0" applyNumberFormat="1" applyFont="1" applyBorder="1" applyAlignment="1" applyProtection="1">
      <alignment horizontal="center" vertical="center" wrapText="1"/>
      <protection hidden="1"/>
    </xf>
    <xf numFmtId="0" fontId="60" fillId="0" borderId="10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34" fillId="0" borderId="102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3" fontId="74" fillId="62" borderId="13" xfId="0" applyNumberFormat="1" applyFont="1" applyFill="1" applyBorder="1" applyAlignment="1" applyProtection="1">
      <alignment horizontal="center" vertical="center" wrapText="1"/>
      <protection hidden="1"/>
    </xf>
    <xf numFmtId="3" fontId="74" fillId="62" borderId="19" xfId="0" applyNumberFormat="1" applyFont="1" applyFill="1" applyBorder="1" applyAlignment="1" applyProtection="1">
      <alignment horizontal="center" vertical="center" wrapText="1"/>
      <protection hidden="1"/>
    </xf>
    <xf numFmtId="1" fontId="102" fillId="0" borderId="21" xfId="0" applyNumberFormat="1" applyFont="1" applyBorder="1" applyAlignment="1" applyProtection="1">
      <alignment horizontal="center" vertical="center" wrapText="1"/>
      <protection hidden="1"/>
    </xf>
    <xf numFmtId="1" fontId="102" fillId="0" borderId="13" xfId="0" applyNumberFormat="1" applyFont="1" applyBorder="1" applyAlignment="1" applyProtection="1">
      <alignment horizontal="center" vertical="center" wrapText="1"/>
      <protection hidden="1"/>
    </xf>
    <xf numFmtId="1" fontId="102" fillId="0" borderId="19" xfId="0" applyNumberFormat="1" applyFont="1" applyBorder="1" applyAlignment="1" applyProtection="1">
      <alignment horizontal="center" vertical="center" wrapText="1"/>
      <protection hidden="1"/>
    </xf>
    <xf numFmtId="0" fontId="74" fillId="0" borderId="104" xfId="0" applyFont="1" applyBorder="1" applyAlignment="1">
      <alignment horizontal="left" vertical="center"/>
    </xf>
    <xf numFmtId="0" fontId="74" fillId="0" borderId="105" xfId="0" applyFont="1" applyBorder="1" applyAlignment="1">
      <alignment horizontal="left" vertical="center"/>
    </xf>
    <xf numFmtId="0" fontId="32" fillId="0" borderId="29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1" fontId="35" fillId="0" borderId="29" xfId="0" applyNumberFormat="1" applyFont="1" applyBorder="1" applyAlignment="1" applyProtection="1">
      <alignment horizontal="center" vertical="center" wrapText="1"/>
      <protection hidden="1"/>
    </xf>
    <xf numFmtId="1" fontId="35" fillId="0" borderId="35" xfId="0" applyNumberFormat="1" applyFont="1" applyBorder="1" applyAlignment="1" applyProtection="1">
      <alignment horizontal="center" vertical="center" wrapText="1"/>
      <protection hidden="1"/>
    </xf>
    <xf numFmtId="1" fontId="35" fillId="0" borderId="44" xfId="0" applyNumberFormat="1" applyFont="1" applyBorder="1" applyAlignment="1" applyProtection="1">
      <alignment horizontal="center" vertical="center" wrapText="1"/>
      <protection hidden="1"/>
    </xf>
    <xf numFmtId="0" fontId="34" fillId="0" borderId="94" xfId="0" applyFont="1" applyBorder="1" applyAlignment="1">
      <alignment horizontal="center" vertical="center"/>
    </xf>
    <xf numFmtId="0" fontId="34" fillId="0" borderId="95" xfId="0" applyFont="1" applyBorder="1" applyAlignment="1">
      <alignment horizontal="center" vertical="center"/>
    </xf>
    <xf numFmtId="1" fontId="102" fillId="0" borderId="22" xfId="0" applyNumberFormat="1" applyFont="1" applyBorder="1" applyAlignment="1" applyProtection="1">
      <alignment horizontal="center" vertical="center" wrapText="1"/>
      <protection hidden="1"/>
    </xf>
    <xf numFmtId="1" fontId="102" fillId="0" borderId="38" xfId="0" applyNumberFormat="1" applyFont="1" applyBorder="1" applyAlignment="1" applyProtection="1">
      <alignment horizontal="center" vertical="center" wrapText="1"/>
      <protection hidden="1"/>
    </xf>
    <xf numFmtId="1" fontId="102" fillId="0" borderId="52" xfId="0" applyNumberFormat="1" applyFont="1" applyBorder="1" applyAlignment="1" applyProtection="1">
      <alignment horizontal="center" vertical="center" wrapText="1"/>
      <protection hidden="1"/>
    </xf>
    <xf numFmtId="2" fontId="31" fillId="0" borderId="10" xfId="0" applyNumberFormat="1" applyFont="1" applyBorder="1" applyAlignment="1">
      <alignment horizontal="center" vertical="center" wrapText="1"/>
    </xf>
    <xf numFmtId="166" fontId="59" fillId="0" borderId="15" xfId="0" applyNumberFormat="1" applyFont="1" applyBorder="1" applyAlignment="1" applyProtection="1">
      <alignment horizontal="center" vertical="center" wrapText="1"/>
      <protection hidden="1"/>
    </xf>
    <xf numFmtId="0" fontId="59" fillId="0" borderId="15" xfId="0" applyFont="1" applyBorder="1" applyAlignment="1">
      <alignment horizontal="center" vertical="center" wrapText="1"/>
    </xf>
    <xf numFmtId="3" fontId="102" fillId="0" borderId="21" xfId="0" applyNumberFormat="1" applyFont="1" applyBorder="1" applyAlignment="1" applyProtection="1">
      <alignment horizontal="center" vertical="center" wrapText="1"/>
      <protection hidden="1"/>
    </xf>
    <xf numFmtId="3" fontId="102" fillId="0" borderId="13" xfId="0" applyNumberFormat="1" applyFont="1" applyBorder="1" applyAlignment="1" applyProtection="1">
      <alignment horizontal="center" vertical="center" wrapText="1"/>
      <protection hidden="1"/>
    </xf>
    <xf numFmtId="3" fontId="102" fillId="0" borderId="19" xfId="0" applyNumberFormat="1" applyFont="1" applyBorder="1" applyAlignment="1" applyProtection="1">
      <alignment horizontal="center" vertical="center" wrapText="1"/>
      <protection hidden="1"/>
    </xf>
    <xf numFmtId="2" fontId="31" fillId="0" borderId="21" xfId="0" applyNumberFormat="1" applyFont="1" applyBorder="1" applyAlignment="1">
      <alignment horizontal="center" vertical="center" wrapText="1"/>
    </xf>
    <xf numFmtId="2" fontId="31" fillId="0" borderId="13" xfId="0" applyNumberFormat="1" applyFont="1" applyBorder="1" applyAlignment="1">
      <alignment horizontal="center" vertical="center" wrapText="1"/>
    </xf>
    <xf numFmtId="2" fontId="31" fillId="0" borderId="19" xfId="0" applyNumberFormat="1" applyFont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60" fillId="0" borderId="44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43" xfId="0" applyFont="1" applyBorder="1" applyAlignment="1">
      <alignment horizontal="center" vertical="center" wrapText="1"/>
    </xf>
    <xf numFmtId="0" fontId="60" fillId="62" borderId="29" xfId="0" applyFont="1" applyFill="1" applyBorder="1" applyAlignment="1">
      <alignment horizontal="center" vertical="center" wrapText="1"/>
    </xf>
    <xf numFmtId="0" fontId="60" fillId="62" borderId="44" xfId="0" applyFont="1" applyFill="1" applyBorder="1" applyAlignment="1">
      <alignment horizontal="center" vertical="center" wrapText="1"/>
    </xf>
    <xf numFmtId="0" fontId="60" fillId="62" borderId="27" xfId="0" applyFont="1" applyFill="1" applyBorder="1" applyAlignment="1">
      <alignment horizontal="center" vertical="center" wrapText="1"/>
    </xf>
    <xf numFmtId="0" fontId="60" fillId="62" borderId="43" xfId="0" applyFont="1" applyFill="1" applyBorder="1" applyAlignment="1">
      <alignment horizontal="center" vertical="center" wrapText="1"/>
    </xf>
    <xf numFmtId="1" fontId="102" fillId="62" borderId="24" xfId="0" applyNumberFormat="1" applyFont="1" applyFill="1" applyBorder="1" applyAlignment="1" applyProtection="1">
      <alignment horizontal="center" vertical="center" wrapText="1"/>
      <protection hidden="1"/>
    </xf>
    <xf numFmtId="1" fontId="102" fillId="62" borderId="40" xfId="0" applyNumberFormat="1" applyFont="1" applyFill="1" applyBorder="1" applyAlignment="1" applyProtection="1">
      <alignment horizontal="center" vertical="center" wrapText="1"/>
      <protection hidden="1"/>
    </xf>
    <xf numFmtId="3" fontId="74" fillId="62" borderId="35" xfId="0" applyNumberFormat="1" applyFont="1" applyFill="1" applyBorder="1" applyAlignment="1" applyProtection="1">
      <alignment horizontal="left" vertical="center" wrapText="1"/>
      <protection hidden="1"/>
    </xf>
    <xf numFmtId="3" fontId="74" fillId="62" borderId="44" xfId="0" applyNumberFormat="1" applyFont="1" applyFill="1" applyBorder="1" applyAlignment="1" applyProtection="1">
      <alignment horizontal="left" vertical="center" wrapText="1"/>
      <protection hidden="1"/>
    </xf>
    <xf numFmtId="3" fontId="74" fillId="62" borderId="25" xfId="0" applyNumberFormat="1" applyFont="1" applyFill="1" applyBorder="1" applyAlignment="1" applyProtection="1">
      <alignment horizontal="left" vertical="center" wrapText="1"/>
      <protection hidden="1"/>
    </xf>
    <xf numFmtId="3" fontId="74" fillId="62" borderId="43" xfId="0" applyNumberFormat="1" applyFont="1" applyFill="1" applyBorder="1" applyAlignment="1" applyProtection="1">
      <alignment horizontal="left" vertical="center" wrapText="1"/>
      <protection hidden="1"/>
    </xf>
    <xf numFmtId="2" fontId="31" fillId="62" borderId="17" xfId="0" applyNumberFormat="1" applyFont="1" applyFill="1" applyBorder="1" applyAlignment="1">
      <alignment horizontal="center" vertical="center" wrapText="1"/>
    </xf>
    <xf numFmtId="2" fontId="31" fillId="62" borderId="18" xfId="0" applyNumberFormat="1" applyFont="1" applyFill="1" applyBorder="1" applyAlignment="1">
      <alignment horizontal="center" vertical="center" wrapText="1"/>
    </xf>
    <xf numFmtId="2" fontId="32" fillId="62" borderId="17" xfId="0" applyNumberFormat="1" applyFont="1" applyFill="1" applyBorder="1" applyAlignment="1">
      <alignment horizontal="center" vertical="center" wrapText="1"/>
    </xf>
    <xf numFmtId="2" fontId="32" fillId="62" borderId="18" xfId="0" applyNumberFormat="1" applyFont="1" applyFill="1" applyBorder="1" applyAlignment="1">
      <alignment horizontal="center" vertical="center" wrapText="1"/>
    </xf>
    <xf numFmtId="1" fontId="32" fillId="62" borderId="17" xfId="0" applyNumberFormat="1" applyFont="1" applyFill="1" applyBorder="1" applyAlignment="1">
      <alignment horizontal="center" vertical="center" wrapText="1"/>
    </xf>
    <xf numFmtId="1" fontId="32" fillId="62" borderId="18" xfId="0" applyNumberFormat="1" applyFont="1" applyFill="1" applyBorder="1" applyAlignment="1">
      <alignment horizontal="center" vertical="center" wrapText="1"/>
    </xf>
    <xf numFmtId="1" fontId="31" fillId="58" borderId="17" xfId="0" applyNumberFormat="1" applyFont="1" applyFill="1" applyBorder="1" applyAlignment="1">
      <alignment horizontal="center" vertical="center"/>
    </xf>
    <xf numFmtId="1" fontId="31" fillId="58" borderId="15" xfId="0" applyNumberFormat="1" applyFont="1" applyFill="1" applyBorder="1" applyAlignment="1">
      <alignment horizontal="center" vertical="center"/>
    </xf>
    <xf numFmtId="1" fontId="31" fillId="58" borderId="18" xfId="0" applyNumberFormat="1" applyFont="1" applyFill="1" applyBorder="1" applyAlignment="1">
      <alignment horizontal="center" vertical="center"/>
    </xf>
    <xf numFmtId="0" fontId="31" fillId="55" borderId="10" xfId="0" applyFont="1" applyFill="1" applyBorder="1" applyAlignment="1">
      <alignment horizontal="center" vertical="center" wrapText="1"/>
    </xf>
    <xf numFmtId="0" fontId="13" fillId="49" borderId="29" xfId="0" applyFont="1" applyFill="1" applyBorder="1" applyAlignment="1">
      <alignment horizontal="center"/>
    </xf>
    <xf numFmtId="0" fontId="13" fillId="49" borderId="35" xfId="0" applyFont="1" applyFill="1" applyBorder="1" applyAlignment="1">
      <alignment horizontal="center"/>
    </xf>
    <xf numFmtId="0" fontId="13" fillId="49" borderId="44" xfId="0" applyFont="1" applyFill="1" applyBorder="1" applyAlignment="1">
      <alignment horizontal="center"/>
    </xf>
    <xf numFmtId="0" fontId="13" fillId="49" borderId="27" xfId="0" applyFont="1" applyFill="1" applyBorder="1" applyAlignment="1">
      <alignment horizontal="center"/>
    </xf>
    <xf numFmtId="0" fontId="13" fillId="49" borderId="25" xfId="0" applyFont="1" applyFill="1" applyBorder="1" applyAlignment="1">
      <alignment horizontal="center"/>
    </xf>
    <xf numFmtId="0" fontId="13" fillId="49" borderId="43" xfId="0" applyFont="1" applyFill="1" applyBorder="1" applyAlignment="1">
      <alignment horizontal="center"/>
    </xf>
    <xf numFmtId="0" fontId="123" fillId="47" borderId="10" xfId="341" applyFont="1" applyFill="1" applyBorder="1" applyAlignment="1">
      <alignment horizontal="center" vertical="center" wrapText="1"/>
    </xf>
    <xf numFmtId="0" fontId="32" fillId="0" borderId="98" xfId="0" applyFont="1" applyBorder="1" applyAlignment="1">
      <alignment horizontal="left" vertical="center"/>
    </xf>
    <xf numFmtId="0" fontId="32" fillId="0" borderId="80" xfId="0" applyFont="1" applyBorder="1" applyAlignment="1">
      <alignment horizontal="left" vertical="center"/>
    </xf>
    <xf numFmtId="0" fontId="32" fillId="0" borderId="121" xfId="0" applyFont="1" applyBorder="1" applyAlignment="1">
      <alignment horizontal="left" vertical="center"/>
    </xf>
    <xf numFmtId="0" fontId="32" fillId="0" borderId="122" xfId="0" applyFont="1" applyBorder="1" applyAlignment="1">
      <alignment horizontal="left" vertical="center"/>
    </xf>
    <xf numFmtId="2" fontId="31" fillId="0" borderId="17" xfId="0" applyNumberFormat="1" applyFont="1" applyBorder="1" applyAlignment="1">
      <alignment horizontal="center" vertical="center" wrapText="1"/>
    </xf>
    <xf numFmtId="2" fontId="31" fillId="0" borderId="18" xfId="0" applyNumberFormat="1" applyFont="1" applyBorder="1" applyAlignment="1">
      <alignment horizontal="center" vertical="center" wrapText="1"/>
    </xf>
    <xf numFmtId="0" fontId="34" fillId="0" borderId="92" xfId="0" applyFont="1" applyBorder="1" applyAlignment="1">
      <alignment horizontal="center" vertical="center"/>
    </xf>
    <xf numFmtId="0" fontId="34" fillId="0" borderId="93" xfId="0" applyFont="1" applyBorder="1" applyAlignment="1">
      <alignment horizontal="center" vertical="center"/>
    </xf>
    <xf numFmtId="0" fontId="32" fillId="0" borderId="96" xfId="0" applyFont="1" applyBorder="1" applyAlignment="1">
      <alignment horizontal="left" vertical="center"/>
    </xf>
    <xf numFmtId="0" fontId="32" fillId="0" borderId="76" xfId="0" applyFont="1" applyBorder="1" applyAlignment="1">
      <alignment horizontal="left" vertical="center"/>
    </xf>
    <xf numFmtId="0" fontId="32" fillId="0" borderId="90" xfId="0" applyFont="1" applyBorder="1" applyAlignment="1">
      <alignment horizontal="center" vertical="center" wrapText="1"/>
    </xf>
    <xf numFmtId="0" fontId="32" fillId="0" borderId="91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left" vertical="center"/>
    </xf>
    <xf numFmtId="0" fontId="32" fillId="0" borderId="131" xfId="0" applyFont="1" applyBorder="1" applyAlignment="1">
      <alignment horizontal="left" vertical="center"/>
    </xf>
    <xf numFmtId="0" fontId="73" fillId="0" borderId="27" xfId="0" applyFont="1" applyBorder="1" applyAlignment="1">
      <alignment horizontal="center" vertical="center" wrapText="1"/>
    </xf>
    <xf numFmtId="0" fontId="73" fillId="0" borderId="4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1" fontId="102" fillId="0" borderId="29" xfId="0" applyNumberFormat="1" applyFont="1" applyBorder="1" applyAlignment="1" applyProtection="1">
      <alignment horizontal="right" vertical="center" wrapText="1"/>
      <protection hidden="1"/>
    </xf>
    <xf numFmtId="1" fontId="102" fillId="0" borderId="35" xfId="0" applyNumberFormat="1" applyFont="1" applyBorder="1" applyAlignment="1" applyProtection="1">
      <alignment horizontal="right" vertical="center" wrapText="1"/>
      <protection hidden="1"/>
    </xf>
    <xf numFmtId="1" fontId="102" fillId="0" borderId="27" xfId="0" applyNumberFormat="1" applyFont="1" applyBorder="1" applyAlignment="1" applyProtection="1">
      <alignment horizontal="right" vertical="center" wrapText="1"/>
      <protection hidden="1"/>
    </xf>
    <xf numFmtId="1" fontId="102" fillId="0" borderId="25" xfId="0" applyNumberFormat="1" applyFont="1" applyBorder="1" applyAlignment="1" applyProtection="1">
      <alignment horizontal="right" vertical="center" wrapText="1"/>
      <protection hidden="1"/>
    </xf>
    <xf numFmtId="1" fontId="153" fillId="0" borderId="35" xfId="0" applyNumberFormat="1" applyFont="1" applyBorder="1" applyAlignment="1" applyProtection="1">
      <alignment horizontal="left" vertical="center" wrapText="1"/>
      <protection hidden="1"/>
    </xf>
    <xf numFmtId="1" fontId="153" fillId="0" borderId="44" xfId="0" applyNumberFormat="1" applyFont="1" applyBorder="1" applyAlignment="1" applyProtection="1">
      <alignment horizontal="left" vertical="center" wrapText="1"/>
      <protection hidden="1"/>
    </xf>
    <xf numFmtId="1" fontId="153" fillId="0" borderId="25" xfId="0" applyNumberFormat="1" applyFont="1" applyBorder="1" applyAlignment="1" applyProtection="1">
      <alignment horizontal="left" vertical="center" wrapText="1"/>
      <protection hidden="1"/>
    </xf>
    <xf numFmtId="1" fontId="153" fillId="0" borderId="43" xfId="0" applyNumberFormat="1" applyFont="1" applyBorder="1" applyAlignment="1" applyProtection="1">
      <alignment horizontal="left" vertical="center" wrapText="1"/>
      <protection hidden="1"/>
    </xf>
    <xf numFmtId="0" fontId="122" fillId="0" borderId="0" xfId="340" applyFont="1" applyAlignment="1" applyProtection="1">
      <alignment horizontal="center" vertical="center" wrapText="1"/>
      <protection hidden="1"/>
    </xf>
    <xf numFmtId="0" fontId="59" fillId="58" borderId="29" xfId="0" applyFont="1" applyFill="1" applyBorder="1" applyAlignment="1">
      <alignment horizontal="left" vertical="center" wrapText="1"/>
    </xf>
    <xf numFmtId="0" fontId="59" fillId="58" borderId="35" xfId="0" applyFont="1" applyFill="1" applyBorder="1" applyAlignment="1">
      <alignment horizontal="left" vertical="center" wrapText="1"/>
    </xf>
    <xf numFmtId="0" fontId="59" fillId="58" borderId="44" xfId="0" applyFont="1" applyFill="1" applyBorder="1" applyAlignment="1">
      <alignment horizontal="left" vertical="center" wrapText="1"/>
    </xf>
    <xf numFmtId="0" fontId="59" fillId="58" borderId="32" xfId="0" applyFont="1" applyFill="1" applyBorder="1" applyAlignment="1">
      <alignment horizontal="left" vertical="center" wrapText="1"/>
    </xf>
    <xf numFmtId="0" fontId="59" fillId="58" borderId="0" xfId="0" applyFont="1" applyFill="1" applyAlignment="1">
      <alignment horizontal="left" vertical="center" wrapText="1"/>
    </xf>
    <xf numFmtId="0" fontId="59" fillId="58" borderId="28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left" vertical="center" wrapText="1"/>
    </xf>
    <xf numFmtId="0" fontId="59" fillId="58" borderId="25" xfId="0" applyFont="1" applyFill="1" applyBorder="1" applyAlignment="1">
      <alignment horizontal="left" vertical="center" wrapText="1"/>
    </xf>
    <xf numFmtId="0" fontId="59" fillId="58" borderId="43" xfId="0" applyFont="1" applyFill="1" applyBorder="1" applyAlignment="1">
      <alignment horizontal="left" vertical="center" wrapText="1"/>
    </xf>
    <xf numFmtId="3" fontId="35" fillId="49" borderId="23" xfId="0" applyNumberFormat="1" applyFont="1" applyFill="1" applyBorder="1" applyAlignment="1">
      <alignment horizontal="center" vertical="center" wrapText="1"/>
    </xf>
    <xf numFmtId="3" fontId="35" fillId="49" borderId="46" xfId="0" applyNumberFormat="1" applyFont="1" applyFill="1" applyBorder="1" applyAlignment="1">
      <alignment horizontal="center" vertical="center" wrapText="1"/>
    </xf>
    <xf numFmtId="14" fontId="32" fillId="0" borderId="25" xfId="0" applyNumberFormat="1" applyFont="1" applyBorder="1" applyAlignment="1">
      <alignment horizontal="left"/>
    </xf>
    <xf numFmtId="2" fontId="59" fillId="0" borderId="11" xfId="0" applyNumberFormat="1" applyFont="1" applyBorder="1" applyAlignment="1">
      <alignment horizontal="center" vertical="center" wrapText="1"/>
    </xf>
    <xf numFmtId="2" fontId="59" fillId="0" borderId="12" xfId="0" applyNumberFormat="1" applyFont="1" applyBorder="1" applyAlignment="1">
      <alignment horizontal="center" vertical="center" wrapText="1"/>
    </xf>
    <xf numFmtId="166" fontId="59" fillId="0" borderId="11" xfId="0" applyNumberFormat="1" applyFont="1" applyBorder="1" applyAlignment="1" applyProtection="1">
      <alignment horizontal="center" vertical="center" wrapText="1"/>
      <protection hidden="1"/>
    </xf>
    <xf numFmtId="166" fontId="59" fillId="0" borderId="12" xfId="0" applyNumberFormat="1" applyFont="1" applyBorder="1" applyAlignment="1" applyProtection="1">
      <alignment horizontal="center" vertical="center" wrapText="1"/>
      <protection hidden="1"/>
    </xf>
    <xf numFmtId="3" fontId="127" fillId="58" borderId="47" xfId="0" applyNumberFormat="1" applyFont="1" applyFill="1" applyBorder="1" applyAlignment="1">
      <alignment horizontal="center" vertical="center" wrapText="1"/>
    </xf>
    <xf numFmtId="3" fontId="127" fillId="58" borderId="41" xfId="0" applyNumberFormat="1" applyFont="1" applyFill="1" applyBorder="1" applyAlignment="1">
      <alignment horizontal="center" vertical="center" wrapText="1"/>
    </xf>
    <xf numFmtId="3" fontId="35" fillId="49" borderId="39" xfId="0" applyNumberFormat="1" applyFont="1" applyFill="1" applyBorder="1" applyAlignment="1">
      <alignment horizontal="center" vertical="center" wrapText="1"/>
    </xf>
    <xf numFmtId="3" fontId="59" fillId="49" borderId="24" xfId="0" applyNumberFormat="1" applyFont="1" applyFill="1" applyBorder="1" applyAlignment="1">
      <alignment horizontal="center" vertical="center" wrapText="1"/>
    </xf>
    <xf numFmtId="3" fontId="59" fillId="49" borderId="40" xfId="0" applyNumberFormat="1" applyFont="1" applyFill="1" applyBorder="1" applyAlignment="1">
      <alignment horizontal="center" vertical="center" wrapText="1"/>
    </xf>
    <xf numFmtId="3" fontId="127" fillId="58" borderId="48" xfId="0" applyNumberFormat="1" applyFont="1" applyFill="1" applyBorder="1" applyAlignment="1">
      <alignment horizontal="center" vertical="center" wrapText="1"/>
    </xf>
    <xf numFmtId="3" fontId="127" fillId="58" borderId="49" xfId="0" applyNumberFormat="1" applyFont="1" applyFill="1" applyBorder="1" applyAlignment="1">
      <alignment horizontal="center" vertical="center" wrapText="1"/>
    </xf>
    <xf numFmtId="3" fontId="127" fillId="58" borderId="50" xfId="0" applyNumberFormat="1" applyFont="1" applyFill="1" applyBorder="1" applyAlignment="1">
      <alignment horizontal="center" vertical="center" wrapText="1"/>
    </xf>
    <xf numFmtId="3" fontId="127" fillId="58" borderId="51" xfId="0" applyNumberFormat="1" applyFont="1" applyFill="1" applyBorder="1" applyAlignment="1">
      <alignment horizontal="center" vertical="center" wrapText="1"/>
    </xf>
    <xf numFmtId="0" fontId="37" fillId="0" borderId="13" xfId="340" applyFont="1" applyBorder="1" applyAlignment="1" applyProtection="1">
      <alignment horizontal="center" vertical="center"/>
      <protection hidden="1"/>
    </xf>
    <xf numFmtId="0" fontId="110" fillId="60" borderId="10" xfId="0" applyFont="1" applyFill="1" applyBorder="1" applyAlignment="1">
      <alignment horizontal="center" vertical="center" wrapText="1"/>
    </xf>
    <xf numFmtId="0" fontId="31" fillId="55" borderId="21" xfId="0" applyFont="1" applyFill="1" applyBorder="1" applyAlignment="1">
      <alignment horizontal="center" vertical="center" wrapText="1"/>
    </xf>
    <xf numFmtId="0" fontId="31" fillId="55" borderId="13" xfId="0" applyFont="1" applyFill="1" applyBorder="1" applyAlignment="1">
      <alignment horizontal="center" vertical="center" wrapText="1"/>
    </xf>
    <xf numFmtId="0" fontId="31" fillId="55" borderId="19" xfId="0" applyFont="1" applyFill="1" applyBorder="1" applyAlignment="1">
      <alignment horizontal="center" vertical="center" wrapText="1"/>
    </xf>
    <xf numFmtId="0" fontId="60" fillId="58" borderId="10" xfId="0" applyFont="1" applyFill="1" applyBorder="1" applyAlignment="1">
      <alignment horizontal="center" vertical="center" wrapText="1"/>
    </xf>
    <xf numFmtId="166" fontId="59" fillId="0" borderId="10" xfId="0" applyNumberFormat="1" applyFont="1" applyBorder="1" applyAlignment="1" applyProtection="1">
      <alignment horizontal="center" vertical="center" wrapText="1"/>
      <protection hidden="1"/>
    </xf>
    <xf numFmtId="1" fontId="102" fillId="0" borderId="24" xfId="0" applyNumberFormat="1" applyFont="1" applyBorder="1" applyAlignment="1" applyProtection="1">
      <alignment horizontal="center" vertical="center" wrapText="1"/>
      <protection hidden="1"/>
    </xf>
    <xf numFmtId="1" fontId="102" fillId="0" borderId="40" xfId="0" applyNumberFormat="1" applyFont="1" applyBorder="1" applyAlignment="1" applyProtection="1">
      <alignment horizontal="center" vertical="center" wrapText="1"/>
      <protection hidden="1"/>
    </xf>
    <xf numFmtId="1" fontId="102" fillId="0" borderId="45" xfId="0" applyNumberFormat="1" applyFont="1" applyBorder="1" applyAlignment="1" applyProtection="1">
      <alignment horizontal="center" vertical="center" wrapText="1"/>
      <protection hidden="1"/>
    </xf>
    <xf numFmtId="3" fontId="102" fillId="0" borderId="24" xfId="0" applyNumberFormat="1" applyFont="1" applyBorder="1" applyAlignment="1" applyProtection="1">
      <alignment horizontal="center" vertical="center" wrapText="1"/>
      <protection hidden="1"/>
    </xf>
    <xf numFmtId="3" fontId="102" fillId="0" borderId="40" xfId="0" applyNumberFormat="1" applyFont="1" applyBorder="1" applyAlignment="1" applyProtection="1">
      <alignment horizontal="center" vertical="center" wrapText="1"/>
      <protection hidden="1"/>
    </xf>
    <xf numFmtId="3" fontId="102" fillId="0" borderId="45" xfId="0" applyNumberFormat="1" applyFont="1" applyBorder="1" applyAlignment="1" applyProtection="1">
      <alignment horizontal="center" vertical="center" wrapText="1"/>
      <protection hidden="1"/>
    </xf>
    <xf numFmtId="3" fontId="102" fillId="0" borderId="22" xfId="0" applyNumberFormat="1" applyFont="1" applyBorder="1" applyAlignment="1" applyProtection="1">
      <alignment horizontal="center" vertical="center" wrapText="1"/>
      <protection hidden="1"/>
    </xf>
    <xf numFmtId="3" fontId="102" fillId="0" borderId="38" xfId="0" applyNumberFormat="1" applyFont="1" applyBorder="1" applyAlignment="1" applyProtection="1">
      <alignment horizontal="center" vertical="center" wrapText="1"/>
      <protection hidden="1"/>
    </xf>
    <xf numFmtId="3" fontId="102" fillId="0" borderId="52" xfId="0" applyNumberFormat="1" applyFont="1" applyBorder="1" applyAlignment="1" applyProtection="1">
      <alignment horizontal="center" vertical="center" wrapText="1"/>
      <protection hidden="1"/>
    </xf>
    <xf numFmtId="3" fontId="102" fillId="0" borderId="29" xfId="0" applyNumberFormat="1" applyFont="1" applyBorder="1" applyAlignment="1" applyProtection="1">
      <alignment horizontal="center" vertical="center" wrapText="1"/>
      <protection hidden="1"/>
    </xf>
    <xf numFmtId="3" fontId="102" fillId="0" borderId="35" xfId="0" applyNumberFormat="1" applyFont="1" applyBorder="1" applyAlignment="1" applyProtection="1">
      <alignment horizontal="center" vertical="center" wrapText="1"/>
      <protection hidden="1"/>
    </xf>
    <xf numFmtId="3" fontId="102" fillId="0" borderId="44" xfId="0" applyNumberFormat="1" applyFont="1" applyBorder="1" applyAlignment="1" applyProtection="1">
      <alignment horizontal="center" vertical="center" wrapText="1"/>
      <protection hidden="1"/>
    </xf>
    <xf numFmtId="3" fontId="102" fillId="62" borderId="24" xfId="0" applyNumberFormat="1" applyFont="1" applyFill="1" applyBorder="1" applyAlignment="1" applyProtection="1">
      <alignment horizontal="center" vertical="center" wrapText="1"/>
      <protection hidden="1"/>
    </xf>
    <xf numFmtId="3" fontId="102" fillId="62" borderId="40" xfId="0" applyNumberFormat="1" applyFont="1" applyFill="1" applyBorder="1" applyAlignment="1" applyProtection="1">
      <alignment horizontal="center" vertical="center" wrapText="1"/>
      <protection hidden="1"/>
    </xf>
    <xf numFmtId="3" fontId="102" fillId="62" borderId="22" xfId="0" applyNumberFormat="1" applyFont="1" applyFill="1" applyBorder="1" applyAlignment="1" applyProtection="1">
      <alignment horizontal="center" vertical="center" wrapText="1"/>
      <protection hidden="1"/>
    </xf>
    <xf numFmtId="3" fontId="102" fillId="62" borderId="38" xfId="0" applyNumberFormat="1" applyFont="1" applyFill="1" applyBorder="1" applyAlignment="1" applyProtection="1">
      <alignment horizontal="center" vertical="center" wrapText="1"/>
      <protection hidden="1"/>
    </xf>
    <xf numFmtId="1" fontId="102" fillId="62" borderId="22" xfId="0" applyNumberFormat="1" applyFont="1" applyFill="1" applyBorder="1" applyAlignment="1" applyProtection="1">
      <alignment horizontal="center" vertical="center" wrapText="1"/>
      <protection hidden="1"/>
    </xf>
    <xf numFmtId="1" fontId="102" fillId="62" borderId="38" xfId="0" applyNumberFormat="1" applyFont="1" applyFill="1" applyBorder="1" applyAlignment="1" applyProtection="1">
      <alignment horizontal="center" vertical="center" wrapText="1"/>
      <protection hidden="1"/>
    </xf>
    <xf numFmtId="0" fontId="59" fillId="62" borderId="17" xfId="0" applyFont="1" applyFill="1" applyBorder="1" applyAlignment="1">
      <alignment horizontal="center" vertical="center" wrapText="1"/>
    </xf>
    <xf numFmtId="0" fontId="59" fillId="62" borderId="18" xfId="0" applyFont="1" applyFill="1" applyBorder="1" applyAlignment="1">
      <alignment horizontal="center" vertical="center" wrapText="1"/>
    </xf>
    <xf numFmtId="0" fontId="31" fillId="56" borderId="21" xfId="0" applyFont="1" applyFill="1" applyBorder="1" applyAlignment="1">
      <alignment horizontal="center" vertical="center" wrapText="1"/>
    </xf>
    <xf numFmtId="0" fontId="31" fillId="56" borderId="13" xfId="0" applyFont="1" applyFill="1" applyBorder="1" applyAlignment="1">
      <alignment horizontal="center" vertical="center" wrapText="1"/>
    </xf>
    <xf numFmtId="0" fontId="31" fillId="56" borderId="19" xfId="0" applyFont="1" applyFill="1" applyBorder="1" applyAlignment="1">
      <alignment horizontal="center" vertical="center" wrapText="1"/>
    </xf>
    <xf numFmtId="0" fontId="35" fillId="49" borderId="23" xfId="0" applyFont="1" applyFill="1" applyBorder="1" applyAlignment="1">
      <alignment horizontal="center" vertical="center" wrapText="1"/>
    </xf>
    <xf numFmtId="0" fontId="35" fillId="49" borderId="39" xfId="0" applyFont="1" applyFill="1" applyBorder="1" applyAlignment="1">
      <alignment horizontal="center" vertical="center" wrapText="1"/>
    </xf>
    <xf numFmtId="0" fontId="35" fillId="49" borderId="46" xfId="0" applyFont="1" applyFill="1" applyBorder="1" applyAlignment="1">
      <alignment horizontal="center" vertical="center" wrapText="1"/>
    </xf>
    <xf numFmtId="0" fontId="60" fillId="58" borderId="17" xfId="0" applyFont="1" applyFill="1" applyBorder="1" applyAlignment="1">
      <alignment horizontal="center" vertical="center" wrapText="1"/>
    </xf>
    <xf numFmtId="0" fontId="60" fillId="58" borderId="18" xfId="0" applyFont="1" applyFill="1" applyBorder="1" applyAlignment="1">
      <alignment horizontal="center" vertical="center" wrapText="1"/>
    </xf>
    <xf numFmtId="0" fontId="59" fillId="62" borderId="29" xfId="0" applyFont="1" applyFill="1" applyBorder="1" applyAlignment="1">
      <alignment horizontal="left" vertical="center" wrapText="1"/>
    </xf>
    <xf numFmtId="0" fontId="59" fillId="62" borderId="35" xfId="0" applyFont="1" applyFill="1" applyBorder="1" applyAlignment="1">
      <alignment horizontal="left" vertical="center" wrapText="1"/>
    </xf>
    <xf numFmtId="0" fontId="59" fillId="62" borderId="44" xfId="0" applyFont="1" applyFill="1" applyBorder="1" applyAlignment="1">
      <alignment horizontal="left" vertical="center" wrapText="1"/>
    </xf>
    <xf numFmtId="0" fontId="59" fillId="62" borderId="27" xfId="0" applyFont="1" applyFill="1" applyBorder="1" applyAlignment="1">
      <alignment horizontal="left" vertical="center" wrapText="1"/>
    </xf>
    <xf numFmtId="0" fontId="59" fillId="62" borderId="25" xfId="0" applyFont="1" applyFill="1" applyBorder="1" applyAlignment="1">
      <alignment horizontal="left" vertical="center" wrapText="1"/>
    </xf>
    <xf numFmtId="0" fontId="59" fillId="62" borderId="43" xfId="0" applyFont="1" applyFill="1" applyBorder="1" applyAlignment="1">
      <alignment horizontal="left" vertical="center" wrapText="1"/>
    </xf>
    <xf numFmtId="1" fontId="31" fillId="62" borderId="17" xfId="0" applyNumberFormat="1" applyFont="1" applyFill="1" applyBorder="1" applyAlignment="1">
      <alignment horizontal="center" vertical="center"/>
    </xf>
    <xf numFmtId="1" fontId="31" fillId="62" borderId="18" xfId="0" applyNumberFormat="1" applyFont="1" applyFill="1" applyBorder="1" applyAlignment="1">
      <alignment horizontal="center" vertical="center"/>
    </xf>
    <xf numFmtId="0" fontId="60" fillId="62" borderId="17" xfId="0" applyFont="1" applyFill="1" applyBorder="1" applyAlignment="1">
      <alignment horizontal="center" vertical="center" wrapText="1"/>
    </xf>
    <xf numFmtId="0" fontId="60" fillId="62" borderId="18" xfId="0" applyFont="1" applyFill="1" applyBorder="1" applyAlignment="1">
      <alignment horizontal="center" vertical="center" wrapText="1"/>
    </xf>
    <xf numFmtId="0" fontId="110" fillId="62" borderId="17" xfId="0" applyFont="1" applyFill="1" applyBorder="1" applyAlignment="1">
      <alignment horizontal="center" vertical="center" wrapText="1"/>
    </xf>
    <xf numFmtId="0" fontId="110" fillId="62" borderId="18" xfId="0" applyFont="1" applyFill="1" applyBorder="1" applyAlignment="1">
      <alignment horizontal="center" vertical="center" wrapText="1"/>
    </xf>
    <xf numFmtId="3" fontId="35" fillId="55" borderId="11" xfId="0" applyNumberFormat="1" applyFont="1" applyFill="1" applyBorder="1" applyAlignment="1">
      <alignment horizontal="center" vertical="center" wrapText="1"/>
    </xf>
    <xf numFmtId="3" fontId="127" fillId="62" borderId="24" xfId="0" applyNumberFormat="1" applyFont="1" applyFill="1" applyBorder="1" applyAlignment="1">
      <alignment horizontal="center" vertical="center" wrapText="1"/>
    </xf>
    <xf numFmtId="3" fontId="127" fillId="62" borderId="40" xfId="0" applyNumberFormat="1" applyFont="1" applyFill="1" applyBorder="1" applyAlignment="1">
      <alignment horizontal="center" vertical="center" wrapText="1"/>
    </xf>
    <xf numFmtId="3" fontId="73" fillId="62" borderId="40" xfId="0" applyNumberFormat="1" applyFont="1" applyFill="1" applyBorder="1" applyAlignment="1">
      <alignment horizontal="left" vertical="center" wrapText="1"/>
    </xf>
    <xf numFmtId="3" fontId="73" fillId="62" borderId="45" xfId="0" applyNumberFormat="1" applyFont="1" applyFill="1" applyBorder="1" applyAlignment="1">
      <alignment horizontal="left" vertical="center" wrapText="1"/>
    </xf>
    <xf numFmtId="0" fontId="31" fillId="56" borderId="10" xfId="0" applyFont="1" applyFill="1" applyBorder="1" applyAlignment="1">
      <alignment horizontal="center" vertical="center" wrapText="1"/>
    </xf>
    <xf numFmtId="0" fontId="59" fillId="58" borderId="10" xfId="0" applyFont="1" applyFill="1" applyBorder="1" applyAlignment="1">
      <alignment horizontal="left" vertical="center" wrapText="1"/>
    </xf>
    <xf numFmtId="3" fontId="32" fillId="49" borderId="22" xfId="0" applyNumberFormat="1" applyFont="1" applyFill="1" applyBorder="1" applyAlignment="1">
      <alignment horizontal="center" vertical="center" wrapText="1"/>
    </xf>
    <xf numFmtId="3" fontId="32" fillId="49" borderId="38" xfId="0" applyNumberFormat="1" applyFont="1" applyFill="1" applyBorder="1" applyAlignment="1">
      <alignment horizontal="center" vertical="center" wrapText="1"/>
    </xf>
    <xf numFmtId="3" fontId="32" fillId="49" borderId="52" xfId="0" applyNumberFormat="1" applyFont="1" applyFill="1" applyBorder="1" applyAlignment="1">
      <alignment horizontal="center" vertical="center" wrapText="1"/>
    </xf>
    <xf numFmtId="2" fontId="31" fillId="0" borderId="15" xfId="0" applyNumberFormat="1" applyFont="1" applyBorder="1" applyAlignment="1">
      <alignment horizontal="center" vertical="center" wrapText="1"/>
    </xf>
    <xf numFmtId="165" fontId="59" fillId="0" borderId="17" xfId="0" applyNumberFormat="1" applyFont="1" applyBorder="1" applyAlignment="1">
      <alignment horizontal="center" vertical="center" wrapText="1"/>
    </xf>
    <xf numFmtId="165" fontId="59" fillId="0" borderId="18" xfId="0" applyNumberFormat="1" applyFont="1" applyBorder="1" applyAlignment="1">
      <alignment horizontal="center" vertical="center" wrapText="1"/>
    </xf>
    <xf numFmtId="165" fontId="59" fillId="0" borderId="15" xfId="0" applyNumberFormat="1" applyFont="1" applyBorder="1" applyAlignment="1">
      <alignment horizontal="center" vertical="center" wrapText="1"/>
    </xf>
    <xf numFmtId="2" fontId="59" fillId="0" borderId="17" xfId="0" applyNumberFormat="1" applyFont="1" applyBorder="1" applyAlignment="1" applyProtection="1">
      <alignment horizontal="center" vertical="center" wrapText="1"/>
      <protection hidden="1"/>
    </xf>
    <xf numFmtId="2" fontId="59" fillId="0" borderId="18" xfId="0" applyNumberFormat="1" applyFont="1" applyBorder="1" applyAlignment="1" applyProtection="1">
      <alignment horizontal="center" vertical="center" wrapText="1"/>
      <protection hidden="1"/>
    </xf>
    <xf numFmtId="2" fontId="59" fillId="0" borderId="10" xfId="0" applyNumberFormat="1" applyFont="1" applyBorder="1" applyAlignment="1">
      <alignment horizontal="center" vertical="center" wrapText="1"/>
    </xf>
    <xf numFmtId="0" fontId="32" fillId="0" borderId="17" xfId="0" applyFont="1" applyBorder="1" applyAlignment="1" applyProtection="1">
      <alignment horizontal="center" vertical="center" wrapText="1"/>
      <protection hidden="1"/>
    </xf>
    <xf numFmtId="0" fontId="32" fillId="0" borderId="15" xfId="0" applyFont="1" applyBorder="1" applyAlignment="1" applyProtection="1">
      <alignment horizontal="center" vertical="center" wrapText="1"/>
      <protection hidden="1"/>
    </xf>
    <xf numFmtId="0" fontId="32" fillId="0" borderId="18" xfId="0" applyFont="1" applyBorder="1" applyAlignment="1" applyProtection="1">
      <alignment horizontal="center" vertical="center" wrapText="1"/>
      <protection hidden="1"/>
    </xf>
    <xf numFmtId="0" fontId="74" fillId="0" borderId="15" xfId="0" applyFont="1" applyBorder="1" applyAlignment="1" applyProtection="1">
      <alignment horizontal="left" vertical="top" wrapText="1"/>
      <protection hidden="1"/>
    </xf>
    <xf numFmtId="0" fontId="74" fillId="0" borderId="18" xfId="0" applyFont="1" applyBorder="1" applyAlignment="1" applyProtection="1">
      <alignment horizontal="left" vertical="top" wrapText="1"/>
      <protection hidden="1"/>
    </xf>
    <xf numFmtId="0" fontId="31" fillId="0" borderId="17" xfId="0" applyFont="1" applyBorder="1" applyAlignment="1" applyProtection="1">
      <alignment horizontal="center" vertical="center" wrapText="1"/>
      <protection hidden="1"/>
    </xf>
    <xf numFmtId="0" fontId="31" fillId="0" borderId="15" xfId="0" applyFont="1" applyBorder="1" applyAlignment="1" applyProtection="1">
      <alignment horizontal="center" vertical="center" wrapText="1"/>
      <protection hidden="1"/>
    </xf>
    <xf numFmtId="0" fontId="31" fillId="0" borderId="18" xfId="0" applyFont="1" applyBorder="1" applyAlignment="1" applyProtection="1">
      <alignment horizontal="center" vertical="center" wrapText="1"/>
      <protection hidden="1"/>
    </xf>
    <xf numFmtId="0" fontId="34" fillId="0" borderId="17" xfId="0" applyFont="1" applyBorder="1" applyAlignment="1" applyProtection="1">
      <alignment horizontal="center" vertical="center" wrapText="1"/>
      <protection hidden="1"/>
    </xf>
    <xf numFmtId="0" fontId="34" fillId="0" borderId="15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 applyProtection="1">
      <alignment horizontal="center" vertical="center" wrapText="1"/>
      <protection hidden="1"/>
    </xf>
    <xf numFmtId="0" fontId="31" fillId="0" borderId="16" xfId="0" applyFont="1" applyBorder="1" applyAlignment="1" applyProtection="1">
      <alignment horizontal="center" vertical="center" wrapText="1"/>
      <protection hidden="1"/>
    </xf>
    <xf numFmtId="0" fontId="31" fillId="0" borderId="14" xfId="0" applyFont="1" applyBorder="1" applyAlignment="1" applyProtection="1">
      <alignment horizontal="center" vertical="center" wrapText="1"/>
      <protection hidden="1"/>
    </xf>
    <xf numFmtId="0" fontId="31" fillId="0" borderId="20" xfId="0" applyFont="1" applyBorder="1" applyAlignment="1" applyProtection="1">
      <alignment horizontal="center" vertical="center" wrapText="1"/>
      <protection hidden="1"/>
    </xf>
    <xf numFmtId="0" fontId="65" fillId="0" borderId="0" xfId="0" applyFont="1" applyAlignment="1">
      <alignment horizontal="center"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0" xfId="0" applyFont="1" applyAlignment="1" applyProtection="1">
      <alignment horizontal="left" vertical="center" wrapText="1"/>
      <protection hidden="1"/>
    </xf>
    <xf numFmtId="0" fontId="31" fillId="0" borderId="25" xfId="0" applyFont="1" applyBorder="1" applyAlignment="1" applyProtection="1">
      <alignment horizontal="left" vertical="center" wrapText="1"/>
      <protection hidden="1"/>
    </xf>
    <xf numFmtId="0" fontId="73" fillId="0" borderId="27" xfId="0" applyFont="1" applyBorder="1" applyAlignment="1" applyProtection="1">
      <alignment horizontal="left" vertical="center" wrapText="1"/>
      <protection hidden="1"/>
    </xf>
    <xf numFmtId="0" fontId="73" fillId="0" borderId="25" xfId="0" applyFont="1" applyBorder="1" applyAlignment="1" applyProtection="1">
      <alignment horizontal="left" vertical="center" wrapText="1"/>
      <protection hidden="1"/>
    </xf>
    <xf numFmtId="0" fontId="73" fillId="0" borderId="43" xfId="0" applyFont="1" applyBorder="1" applyAlignment="1" applyProtection="1">
      <alignment horizontal="left" vertical="center" wrapText="1"/>
      <protection hidden="1"/>
    </xf>
    <xf numFmtId="0" fontId="31" fillId="0" borderId="35" xfId="0" applyFont="1" applyBorder="1" applyAlignment="1" applyProtection="1">
      <alignment horizontal="left" vertical="top" wrapText="1"/>
      <protection hidden="1"/>
    </xf>
    <xf numFmtId="0" fontId="31" fillId="0" borderId="0" xfId="0" applyFont="1" applyAlignment="1" applyProtection="1">
      <alignment horizontal="left" vertical="top" wrapText="1"/>
      <protection hidden="1"/>
    </xf>
    <xf numFmtId="0" fontId="31" fillId="0" borderId="148" xfId="0" applyFont="1" applyBorder="1" applyAlignment="1" applyProtection="1">
      <alignment horizontal="left" vertical="top" wrapText="1"/>
      <protection hidden="1"/>
    </xf>
    <xf numFmtId="0" fontId="32" fillId="0" borderId="0" xfId="0" applyFont="1" applyAlignment="1" applyProtection="1">
      <alignment horizontal="left" vertical="top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0" fontId="31" fillId="55" borderId="17" xfId="0" applyFont="1" applyFill="1" applyBorder="1" applyAlignment="1" applyProtection="1">
      <alignment horizontal="center" vertical="center"/>
      <protection hidden="1"/>
    </xf>
    <xf numFmtId="0" fontId="31" fillId="55" borderId="18" xfId="0" applyFont="1" applyFill="1" applyBorder="1" applyAlignment="1" applyProtection="1">
      <alignment horizontal="center" vertical="center"/>
      <protection hidden="1"/>
    </xf>
    <xf numFmtId="0" fontId="31" fillId="55" borderId="10" xfId="0" applyFont="1" applyFill="1" applyBorder="1" applyAlignment="1" applyProtection="1">
      <alignment horizontal="center" vertical="center" wrapText="1"/>
      <protection hidden="1"/>
    </xf>
    <xf numFmtId="0" fontId="31" fillId="55" borderId="17" xfId="0" applyFont="1" applyFill="1" applyBorder="1" applyAlignment="1" applyProtection="1">
      <alignment horizontal="center" vertical="center" wrapText="1"/>
      <protection hidden="1"/>
    </xf>
    <xf numFmtId="0" fontId="31" fillId="55" borderId="18" xfId="0" applyFont="1" applyFill="1" applyBorder="1" applyAlignment="1" applyProtection="1">
      <alignment horizontal="center" vertical="center" wrapText="1"/>
      <protection hidden="1"/>
    </xf>
    <xf numFmtId="9" fontId="43" fillId="0" borderId="21" xfId="357" applyFont="1" applyBorder="1" applyAlignment="1">
      <alignment horizontal="center" vertical="center"/>
    </xf>
    <xf numFmtId="9" fontId="43" fillId="0" borderId="13" xfId="357" applyFont="1" applyBorder="1" applyAlignment="1">
      <alignment horizontal="center" vertical="center"/>
    </xf>
    <xf numFmtId="9" fontId="43" fillId="0" borderId="19" xfId="357" applyFont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35" xfId="0" applyFont="1" applyBorder="1" applyAlignment="1" applyProtection="1">
      <alignment horizontal="left" vertical="center"/>
      <protection hidden="1"/>
    </xf>
    <xf numFmtId="0" fontId="31" fillId="0" borderId="12" xfId="0" applyFont="1" applyBorder="1" applyAlignment="1" applyProtection="1">
      <alignment horizontal="center" vertical="center" wrapText="1"/>
      <protection hidden="1"/>
    </xf>
    <xf numFmtId="3" fontId="54" fillId="0" borderId="0" xfId="0" applyNumberFormat="1" applyFont="1" applyAlignment="1" applyProtection="1">
      <alignment horizontal="center" vertical="center"/>
      <protection hidden="1"/>
    </xf>
    <xf numFmtId="0" fontId="31" fillId="55" borderId="21" xfId="0" applyFont="1" applyFill="1" applyBorder="1" applyAlignment="1" applyProtection="1">
      <alignment horizontal="center" vertical="center" wrapText="1"/>
      <protection hidden="1"/>
    </xf>
    <xf numFmtId="0" fontId="31" fillId="55" borderId="19" xfId="0" applyFont="1" applyFill="1" applyBorder="1" applyAlignment="1" applyProtection="1">
      <alignment horizontal="center" vertical="center" wrapText="1"/>
      <protection hidden="1"/>
    </xf>
    <xf numFmtId="0" fontId="31" fillId="55" borderId="29" xfId="0" applyFont="1" applyFill="1" applyBorder="1" applyAlignment="1" applyProtection="1">
      <alignment horizontal="center" vertical="center" wrapText="1"/>
      <protection hidden="1"/>
    </xf>
    <xf numFmtId="0" fontId="31" fillId="55" borderId="44" xfId="0" applyFont="1" applyFill="1" applyBorder="1" applyAlignment="1" applyProtection="1">
      <alignment horizontal="center" vertical="center" wrapText="1"/>
      <protection hidden="1"/>
    </xf>
    <xf numFmtId="0" fontId="68" fillId="55" borderId="21" xfId="0" applyFont="1" applyFill="1" applyBorder="1" applyAlignment="1">
      <alignment horizontal="center" vertical="center" wrapText="1"/>
    </xf>
    <xf numFmtId="0" fontId="68" fillId="55" borderId="19" xfId="0" applyFont="1" applyFill="1" applyBorder="1" applyAlignment="1">
      <alignment horizontal="center" vertical="center" wrapText="1"/>
    </xf>
    <xf numFmtId="0" fontId="32" fillId="0" borderId="10" xfId="0" applyFont="1" applyBorder="1" applyAlignment="1" applyProtection="1">
      <alignment horizontal="center" vertical="center" wrapText="1"/>
      <protection hidden="1"/>
    </xf>
    <xf numFmtId="0" fontId="31" fillId="46" borderId="21" xfId="0" applyFont="1" applyFill="1" applyBorder="1" applyAlignment="1" applyProtection="1">
      <alignment horizontal="left" vertical="center" wrapText="1"/>
      <protection hidden="1"/>
    </xf>
    <xf numFmtId="0" fontId="31" fillId="46" borderId="19" xfId="0" applyFont="1" applyFill="1" applyBorder="1" applyAlignment="1" applyProtection="1">
      <alignment horizontal="left" vertical="center" wrapText="1"/>
      <protection hidden="1"/>
    </xf>
    <xf numFmtId="0" fontId="68" fillId="55" borderId="17" xfId="0" applyFont="1" applyFill="1" applyBorder="1" applyAlignment="1" applyProtection="1">
      <alignment horizontal="center" vertical="center" wrapText="1"/>
      <protection hidden="1"/>
    </xf>
    <xf numFmtId="0" fontId="68" fillId="55" borderId="18" xfId="0" applyFont="1" applyFill="1" applyBorder="1" applyAlignment="1" applyProtection="1">
      <alignment horizontal="center" vertical="center" wrapText="1"/>
      <protection hidden="1"/>
    </xf>
    <xf numFmtId="0" fontId="31" fillId="0" borderId="10" xfId="0" applyFont="1" applyBorder="1" applyAlignment="1" applyProtection="1">
      <alignment horizontal="center" vertical="center" wrapText="1"/>
      <protection hidden="1"/>
    </xf>
    <xf numFmtId="3" fontId="73" fillId="0" borderId="44" xfId="0" applyNumberFormat="1" applyFont="1" applyBorder="1" applyAlignment="1" applyProtection="1">
      <alignment horizontal="center" vertical="center" wrapText="1"/>
      <protection hidden="1"/>
    </xf>
    <xf numFmtId="3" fontId="73" fillId="0" borderId="28" xfId="0" applyNumberFormat="1" applyFont="1" applyBorder="1" applyAlignment="1" applyProtection="1">
      <alignment horizontal="center" vertical="center" wrapText="1"/>
      <protection hidden="1"/>
    </xf>
    <xf numFmtId="3" fontId="73" fillId="0" borderId="43" xfId="0" applyNumberFormat="1" applyFont="1" applyBorder="1" applyAlignment="1" applyProtection="1">
      <alignment horizontal="center" vertical="center" wrapText="1"/>
      <protection hidden="1"/>
    </xf>
    <xf numFmtId="3" fontId="68" fillId="0" borderId="17" xfId="0" applyNumberFormat="1" applyFont="1" applyBorder="1" applyAlignment="1" applyProtection="1">
      <alignment horizontal="center" vertical="center" wrapText="1"/>
      <protection hidden="1"/>
    </xf>
    <xf numFmtId="3" fontId="68" fillId="0" borderId="15" xfId="0" applyNumberFormat="1" applyFont="1" applyBorder="1" applyAlignment="1" applyProtection="1">
      <alignment horizontal="center" vertical="center" wrapText="1"/>
      <protection hidden="1"/>
    </xf>
    <xf numFmtId="3" fontId="68" fillId="0" borderId="18" xfId="0" applyNumberFormat="1" applyFont="1" applyBorder="1" applyAlignment="1" applyProtection="1">
      <alignment horizontal="center" vertical="center" wrapText="1"/>
      <protection hidden="1"/>
    </xf>
    <xf numFmtId="0" fontId="32" fillId="0" borderId="15" xfId="0" applyFont="1" applyBorder="1" applyAlignment="1">
      <alignment horizontal="center" vertical="center" wrapText="1"/>
    </xf>
    <xf numFmtId="0" fontId="31" fillId="0" borderId="0" xfId="0" applyFont="1" applyAlignment="1" applyProtection="1">
      <alignment horizontal="left" wrapText="1"/>
      <protection hidden="1"/>
    </xf>
    <xf numFmtId="3" fontId="73" fillId="0" borderId="17" xfId="0" applyNumberFormat="1" applyFont="1" applyBorder="1" applyAlignment="1" applyProtection="1">
      <alignment horizontal="center" vertical="center" wrapText="1"/>
      <protection hidden="1"/>
    </xf>
    <xf numFmtId="3" fontId="73" fillId="0" borderId="15" xfId="0" applyNumberFormat="1" applyFont="1" applyBorder="1" applyAlignment="1" applyProtection="1">
      <alignment horizontal="center" vertical="center" wrapText="1"/>
      <protection hidden="1"/>
    </xf>
    <xf numFmtId="3" fontId="73" fillId="0" borderId="18" xfId="0" applyNumberFormat="1" applyFont="1" applyBorder="1" applyAlignment="1" applyProtection="1">
      <alignment horizontal="center" vertical="center" wrapText="1"/>
      <protection hidden="1"/>
    </xf>
    <xf numFmtId="3" fontId="73" fillId="0" borderId="10" xfId="0" applyNumberFormat="1" applyFont="1" applyBorder="1" applyAlignment="1" applyProtection="1">
      <alignment horizontal="center" vertical="center" wrapText="1"/>
      <protection hidden="1"/>
    </xf>
    <xf numFmtId="4" fontId="73" fillId="0" borderId="10" xfId="0" applyNumberFormat="1" applyFont="1" applyBorder="1" applyAlignment="1" applyProtection="1">
      <alignment horizontal="center" vertical="center" wrapText="1"/>
      <protection hidden="1"/>
    </xf>
    <xf numFmtId="3" fontId="32" fillId="0" borderId="10" xfId="0" applyNumberFormat="1" applyFont="1" applyBorder="1" applyAlignment="1" applyProtection="1">
      <alignment horizontal="center" vertical="center" wrapText="1"/>
      <protection hidden="1"/>
    </xf>
    <xf numFmtId="3" fontId="68" fillId="0" borderId="10" xfId="0" applyNumberFormat="1" applyFont="1" applyBorder="1" applyAlignment="1" applyProtection="1">
      <alignment horizontal="center" vertical="center" wrapText="1"/>
      <protection hidden="1"/>
    </xf>
    <xf numFmtId="3" fontId="73" fillId="0" borderId="19" xfId="0" applyNumberFormat="1" applyFont="1" applyBorder="1" applyAlignment="1" applyProtection="1">
      <alignment horizontal="center" vertical="center" wrapText="1"/>
      <protection hidden="1"/>
    </xf>
    <xf numFmtId="0" fontId="31" fillId="0" borderId="10" xfId="0" applyFont="1" applyBorder="1" applyAlignment="1" applyProtection="1">
      <alignment horizontal="left" vertical="center" wrapText="1"/>
      <protection hidden="1"/>
    </xf>
    <xf numFmtId="0" fontId="34" fillId="0" borderId="0" xfId="0" applyFont="1" applyAlignment="1">
      <alignment horizontal="left" vertical="top" wrapText="1"/>
    </xf>
    <xf numFmtId="0" fontId="31" fillId="0" borderId="21" xfId="0" applyFont="1" applyBorder="1" applyAlignment="1" applyProtection="1">
      <alignment horizontal="left" vertical="center" wrapText="1"/>
      <protection hidden="1"/>
    </xf>
    <xf numFmtId="0" fontId="31" fillId="0" borderId="19" xfId="0" applyFont="1" applyBorder="1" applyAlignment="1" applyProtection="1">
      <alignment horizontal="left" vertical="center" wrapText="1"/>
      <protection hidden="1"/>
    </xf>
    <xf numFmtId="0" fontId="32" fillId="0" borderId="11" xfId="0" applyFont="1" applyBorder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5" fillId="0" borderId="0" xfId="0" applyFont="1" applyAlignment="1">
      <alignment horizontal="left" vertical="top" wrapText="1"/>
    </xf>
    <xf numFmtId="0" fontId="31" fillId="0" borderId="29" xfId="0" applyFont="1" applyBorder="1" applyAlignment="1" applyProtection="1">
      <alignment horizontal="left" vertical="center" wrapText="1"/>
      <protection hidden="1"/>
    </xf>
    <xf numFmtId="0" fontId="31" fillId="0" borderId="35" xfId="0" applyFont="1" applyBorder="1" applyAlignment="1" applyProtection="1">
      <alignment horizontal="left" vertical="center" wrapText="1"/>
      <protection hidden="1"/>
    </xf>
    <xf numFmtId="0" fontId="31" fillId="0" borderId="44" xfId="0" applyFont="1" applyBorder="1" applyAlignment="1" applyProtection="1">
      <alignment horizontal="left" vertical="center" wrapText="1"/>
      <protection hidden="1"/>
    </xf>
    <xf numFmtId="0" fontId="31" fillId="0" borderId="27" xfId="0" applyFont="1" applyBorder="1" applyAlignment="1" applyProtection="1">
      <alignment horizontal="left" vertical="center" wrapText="1"/>
      <protection hidden="1"/>
    </xf>
    <xf numFmtId="0" fontId="31" fillId="0" borderId="43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left" vertical="center" wrapText="1"/>
      <protection hidden="1"/>
    </xf>
    <xf numFmtId="3" fontId="58" fillId="62" borderId="17" xfId="0" applyNumberFormat="1" applyFont="1" applyFill="1" applyBorder="1" applyAlignment="1" applyProtection="1">
      <alignment horizontal="center" vertical="center"/>
      <protection hidden="1"/>
    </xf>
    <xf numFmtId="3" fontId="58" fillId="62" borderId="18" xfId="0" applyNumberFormat="1" applyFont="1" applyFill="1" applyBorder="1" applyAlignment="1" applyProtection="1">
      <alignment horizontal="center" vertical="center"/>
      <protection hidden="1"/>
    </xf>
    <xf numFmtId="0" fontId="32" fillId="62" borderId="17" xfId="0" applyFont="1" applyFill="1" applyBorder="1" applyAlignment="1" applyProtection="1">
      <alignment horizontal="center" vertical="center" wrapText="1"/>
      <protection hidden="1"/>
    </xf>
    <xf numFmtId="0" fontId="32" fillId="62" borderId="18" xfId="0" applyFont="1" applyFill="1" applyBorder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 vertical="center"/>
      <protection hidden="1"/>
    </xf>
    <xf numFmtId="0" fontId="32" fillId="0" borderId="18" xfId="0" applyFont="1" applyBorder="1" applyAlignment="1" applyProtection="1">
      <alignment horizontal="center" vertical="center"/>
      <protection hidden="1"/>
    </xf>
    <xf numFmtId="0" fontId="73" fillId="0" borderId="21" xfId="0" applyFont="1" applyBorder="1" applyAlignment="1" applyProtection="1">
      <alignment horizontal="center" vertical="center"/>
      <protection hidden="1"/>
    </xf>
    <xf numFmtId="0" fontId="73" fillId="0" borderId="13" xfId="0" applyFont="1" applyBorder="1" applyAlignment="1" applyProtection="1">
      <alignment horizontal="center" vertical="center"/>
      <protection hidden="1"/>
    </xf>
    <xf numFmtId="0" fontId="73" fillId="0" borderId="19" xfId="0" applyFont="1" applyBorder="1" applyAlignment="1" applyProtection="1">
      <alignment horizontal="center" vertical="center"/>
      <protection hidden="1"/>
    </xf>
    <xf numFmtId="0" fontId="32" fillId="0" borderId="15" xfId="0" applyFont="1" applyBorder="1" applyAlignment="1" applyProtection="1">
      <alignment horizontal="center" vertical="center"/>
      <protection hidden="1"/>
    </xf>
    <xf numFmtId="0" fontId="73" fillId="0" borderId="22" xfId="0" applyFont="1" applyBorder="1" applyAlignment="1" applyProtection="1">
      <alignment horizontal="center" vertical="center"/>
      <protection hidden="1"/>
    </xf>
    <xf numFmtId="0" fontId="73" fillId="0" borderId="38" xfId="0" applyFont="1" applyBorder="1" applyAlignment="1" applyProtection="1">
      <alignment horizontal="center" vertical="center"/>
      <protection hidden="1"/>
    </xf>
    <xf numFmtId="0" fontId="73" fillId="0" borderId="52" xfId="0" applyFont="1" applyBorder="1" applyAlignment="1" applyProtection="1">
      <alignment horizontal="center" vertical="center"/>
      <protection hidden="1"/>
    </xf>
    <xf numFmtId="0" fontId="31" fillId="0" borderId="140" xfId="0" applyFont="1" applyBorder="1" applyAlignment="1" applyProtection="1">
      <alignment horizontal="left" vertical="top" wrapText="1"/>
      <protection hidden="1"/>
    </xf>
    <xf numFmtId="0" fontId="32" fillId="62" borderId="17" xfId="0" applyFont="1" applyFill="1" applyBorder="1" applyAlignment="1" applyProtection="1">
      <alignment horizontal="center" vertical="center"/>
      <protection hidden="1"/>
    </xf>
    <xf numFmtId="0" fontId="32" fillId="62" borderId="18" xfId="0" applyFont="1" applyFill="1" applyBorder="1" applyAlignment="1" applyProtection="1">
      <alignment horizontal="center" vertical="center"/>
      <protection hidden="1"/>
    </xf>
    <xf numFmtId="0" fontId="32" fillId="62" borderId="15" xfId="0" applyFont="1" applyFill="1" applyBorder="1" applyAlignment="1" applyProtection="1">
      <alignment horizontal="center" vertical="center"/>
      <protection hidden="1"/>
    </xf>
    <xf numFmtId="0" fontId="73" fillId="0" borderId="53" xfId="0" applyFont="1" applyBorder="1" applyAlignment="1" applyProtection="1">
      <alignment horizontal="center" vertical="center"/>
      <protection hidden="1"/>
    </xf>
    <xf numFmtId="0" fontId="73" fillId="0" borderId="54" xfId="0" applyFont="1" applyBorder="1" applyAlignment="1" applyProtection="1">
      <alignment horizontal="center" vertical="center"/>
      <protection hidden="1"/>
    </xf>
    <xf numFmtId="0" fontId="73" fillId="0" borderId="55" xfId="0" applyFont="1" applyBorder="1" applyAlignment="1" applyProtection="1">
      <alignment horizontal="center" vertical="center"/>
      <protection hidden="1"/>
    </xf>
    <xf numFmtId="0" fontId="73" fillId="0" borderId="32" xfId="0" applyFont="1" applyBorder="1" applyAlignment="1" applyProtection="1">
      <alignment horizontal="center" vertical="center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0" fontId="73" fillId="0" borderId="28" xfId="0" applyFont="1" applyBorder="1" applyAlignment="1" applyProtection="1">
      <alignment horizontal="center" vertical="center"/>
      <protection hidden="1"/>
    </xf>
    <xf numFmtId="0" fontId="73" fillId="0" borderId="27" xfId="0" applyFont="1" applyBorder="1" applyAlignment="1" applyProtection="1">
      <alignment horizontal="center" vertical="center"/>
      <protection hidden="1"/>
    </xf>
    <xf numFmtId="0" fontId="73" fillId="0" borderId="25" xfId="0" applyFont="1" applyBorder="1" applyAlignment="1" applyProtection="1">
      <alignment horizontal="center" vertical="center"/>
      <protection hidden="1"/>
    </xf>
    <xf numFmtId="0" fontId="73" fillId="0" borderId="43" xfId="0" applyFont="1" applyBorder="1" applyAlignment="1" applyProtection="1">
      <alignment horizontal="center" vertical="center"/>
      <protection hidden="1"/>
    </xf>
    <xf numFmtId="0" fontId="31" fillId="0" borderId="32" xfId="0" applyFont="1" applyBorder="1" applyAlignment="1" applyProtection="1">
      <alignment horizontal="left" vertical="center" wrapText="1"/>
      <protection hidden="1"/>
    </xf>
    <xf numFmtId="0" fontId="73" fillId="0" borderId="17" xfId="0" applyFont="1" applyBorder="1" applyAlignment="1" applyProtection="1">
      <alignment horizontal="center" vertical="center" wrapText="1"/>
      <protection hidden="1"/>
    </xf>
    <xf numFmtId="0" fontId="73" fillId="0" borderId="18" xfId="0" applyFont="1" applyBorder="1" applyAlignment="1" applyProtection="1">
      <alignment horizontal="center" vertical="center" wrapText="1"/>
      <protection hidden="1"/>
    </xf>
    <xf numFmtId="0" fontId="32" fillId="0" borderId="21" xfId="0" applyFont="1" applyBorder="1" applyAlignment="1" applyProtection="1">
      <alignment horizontal="center" vertical="center" wrapText="1"/>
      <protection hidden="1"/>
    </xf>
    <xf numFmtId="0" fontId="32" fillId="0" borderId="19" xfId="0" applyFont="1" applyBorder="1" applyAlignment="1" applyProtection="1">
      <alignment horizontal="center" vertical="center" wrapText="1"/>
      <protection hidden="1"/>
    </xf>
    <xf numFmtId="0" fontId="73" fillId="0" borderId="16" xfId="0" applyFont="1" applyBorder="1" applyAlignment="1" applyProtection="1">
      <alignment horizontal="center" vertical="center"/>
      <protection hidden="1"/>
    </xf>
    <xf numFmtId="0" fontId="73" fillId="0" borderId="14" xfId="0" applyFont="1" applyBorder="1" applyAlignment="1" applyProtection="1">
      <alignment horizontal="center" vertical="center"/>
      <protection hidden="1"/>
    </xf>
    <xf numFmtId="0" fontId="73" fillId="0" borderId="12" xfId="0" applyFont="1" applyBorder="1" applyAlignment="1" applyProtection="1">
      <alignment horizontal="center" vertical="center"/>
      <protection hidden="1"/>
    </xf>
    <xf numFmtId="0" fontId="73" fillId="0" borderId="23" xfId="0" applyFont="1" applyBorder="1" applyAlignment="1" applyProtection="1">
      <alignment horizontal="center" vertical="center"/>
      <protection hidden="1"/>
    </xf>
    <xf numFmtId="0" fontId="73" fillId="0" borderId="39" xfId="0" applyFont="1" applyBorder="1" applyAlignment="1" applyProtection="1">
      <alignment horizontal="center" vertical="center"/>
      <protection hidden="1"/>
    </xf>
    <xf numFmtId="0" fontId="73" fillId="0" borderId="46" xfId="0" applyFont="1" applyBorder="1" applyAlignment="1" applyProtection="1">
      <alignment horizontal="center" vertical="center"/>
      <protection hidden="1"/>
    </xf>
    <xf numFmtId="0" fontId="73" fillId="62" borderId="17" xfId="0" applyFont="1" applyFill="1" applyBorder="1" applyAlignment="1" applyProtection="1">
      <alignment horizontal="center" vertical="center" wrapText="1"/>
      <protection hidden="1"/>
    </xf>
    <xf numFmtId="0" fontId="73" fillId="62" borderId="18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left" vertical="center" wrapText="1"/>
    </xf>
    <xf numFmtId="0" fontId="44" fillId="47" borderId="0" xfId="341" applyFont="1" applyFill="1" applyAlignment="1">
      <alignment horizontal="center" vertical="center" wrapText="1"/>
    </xf>
    <xf numFmtId="0" fontId="44" fillId="47" borderId="25" xfId="341" applyFont="1" applyFill="1" applyBorder="1" applyAlignment="1">
      <alignment horizontal="center" vertical="center" wrapText="1"/>
    </xf>
    <xf numFmtId="0" fontId="37" fillId="0" borderId="25" xfId="340" applyFont="1" applyBorder="1" applyAlignment="1" applyProtection="1">
      <alignment horizontal="right" vertical="top"/>
      <protection hidden="1"/>
    </xf>
    <xf numFmtId="0" fontId="31" fillId="0" borderId="19" xfId="0" applyFont="1" applyBorder="1" applyAlignment="1" applyProtection="1">
      <alignment horizontal="left" vertical="center"/>
      <protection hidden="1"/>
    </xf>
    <xf numFmtId="0" fontId="73" fillId="0" borderId="11" xfId="0" applyFont="1" applyBorder="1" applyAlignment="1" applyProtection="1">
      <alignment horizontal="center" vertical="center"/>
      <protection hidden="1"/>
    </xf>
    <xf numFmtId="0" fontId="31" fillId="0" borderId="13" xfId="0" applyFont="1" applyBorder="1" applyAlignment="1" applyProtection="1">
      <alignment horizontal="left" vertical="center" wrapText="1"/>
      <protection hidden="1"/>
    </xf>
    <xf numFmtId="0" fontId="37" fillId="0" borderId="0" xfId="340" applyFont="1" applyAlignment="1" applyProtection="1">
      <alignment horizontal="right" vertical="top"/>
      <protection hidden="1"/>
    </xf>
    <xf numFmtId="0" fontId="31" fillId="55" borderId="10" xfId="0" applyFont="1" applyFill="1" applyBorder="1" applyAlignment="1" applyProtection="1">
      <alignment horizontal="center" vertical="center"/>
      <protection hidden="1"/>
    </xf>
    <xf numFmtId="0" fontId="31" fillId="0" borderId="28" xfId="0" applyFont="1" applyBorder="1" applyAlignment="1" applyProtection="1">
      <alignment horizontal="left" vertical="center" wrapText="1"/>
      <protection hidden="1"/>
    </xf>
    <xf numFmtId="0" fontId="73" fillId="0" borderId="21" xfId="0" applyFont="1" applyBorder="1" applyAlignment="1" applyProtection="1">
      <alignment horizontal="center" vertical="center" wrapText="1"/>
      <protection hidden="1"/>
    </xf>
    <xf numFmtId="0" fontId="31" fillId="56" borderId="29" xfId="0" applyFont="1" applyFill="1" applyBorder="1" applyAlignment="1" applyProtection="1">
      <alignment horizontal="right" vertical="center" wrapText="1"/>
      <protection hidden="1"/>
    </xf>
    <xf numFmtId="0" fontId="31" fillId="56" borderId="27" xfId="0" applyFont="1" applyFill="1" applyBorder="1" applyAlignment="1" applyProtection="1">
      <alignment horizontal="right" vertical="center" wrapText="1"/>
      <protection hidden="1"/>
    </xf>
    <xf numFmtId="0" fontId="68" fillId="0" borderId="10" xfId="0" applyFont="1" applyBorder="1" applyAlignment="1" applyProtection="1">
      <alignment horizontal="center" vertical="center" wrapText="1"/>
      <protection hidden="1"/>
    </xf>
    <xf numFmtId="3" fontId="35" fillId="0" borderId="21" xfId="0" applyNumberFormat="1" applyFont="1" applyBorder="1" applyAlignment="1" applyProtection="1">
      <alignment horizontal="center" vertical="center"/>
      <protection hidden="1"/>
    </xf>
    <xf numFmtId="3" fontId="35" fillId="0" borderId="19" xfId="0" applyNumberFormat="1" applyFont="1" applyBorder="1" applyAlignment="1" applyProtection="1">
      <alignment horizontal="center" vertical="center"/>
      <protection hidden="1"/>
    </xf>
    <xf numFmtId="4" fontId="32" fillId="0" borderId="21" xfId="0" applyNumberFormat="1" applyFont="1" applyBorder="1" applyAlignment="1" applyProtection="1">
      <alignment horizontal="center" vertical="center"/>
      <protection hidden="1"/>
    </xf>
    <xf numFmtId="4" fontId="32" fillId="0" borderId="19" xfId="0" applyNumberFormat="1" applyFont="1" applyBorder="1" applyAlignment="1" applyProtection="1">
      <alignment horizontal="center" vertical="center"/>
      <protection hidden="1"/>
    </xf>
    <xf numFmtId="0" fontId="31" fillId="46" borderId="10" xfId="0" applyFont="1" applyFill="1" applyBorder="1" applyAlignment="1" applyProtection="1">
      <alignment horizontal="center" vertical="center" wrapText="1"/>
      <protection hidden="1"/>
    </xf>
    <xf numFmtId="0" fontId="34" fillId="0" borderId="18" xfId="0" applyFont="1" applyBorder="1" applyAlignment="1" applyProtection="1">
      <alignment horizontal="center" vertical="center" wrapText="1"/>
      <protection hidden="1"/>
    </xf>
    <xf numFmtId="0" fontId="65" fillId="0" borderId="10" xfId="0" applyFont="1" applyBorder="1" applyAlignment="1">
      <alignment horizontal="center"/>
    </xf>
    <xf numFmtId="0" fontId="31" fillId="0" borderId="21" xfId="0" applyFont="1" applyBorder="1" applyAlignment="1" applyProtection="1">
      <alignment horizontal="center" vertical="center" wrapText="1"/>
      <protection hidden="1"/>
    </xf>
    <xf numFmtId="0" fontId="31" fillId="0" borderId="19" xfId="0" applyFont="1" applyBorder="1" applyAlignment="1" applyProtection="1">
      <alignment horizontal="center" vertical="center" wrapText="1"/>
      <protection hidden="1"/>
    </xf>
    <xf numFmtId="3" fontId="32" fillId="0" borderId="17" xfId="0" applyNumberFormat="1" applyFont="1" applyBorder="1" applyAlignment="1" applyProtection="1">
      <alignment horizontal="center" vertical="center"/>
      <protection hidden="1"/>
    </xf>
    <xf numFmtId="3" fontId="32" fillId="0" borderId="18" xfId="0" applyNumberFormat="1" applyFont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center" wrapText="1"/>
      <protection hidden="1"/>
    </xf>
    <xf numFmtId="0" fontId="31" fillId="51" borderId="10" xfId="0" applyFont="1" applyFill="1" applyBorder="1" applyAlignment="1" applyProtection="1">
      <alignment horizontal="center" vertical="center" wrapText="1"/>
      <protection hidden="1"/>
    </xf>
    <xf numFmtId="0" fontId="31" fillId="51" borderId="17" xfId="0" applyFont="1" applyFill="1" applyBorder="1" applyAlignment="1" applyProtection="1">
      <alignment horizontal="center" vertical="center" wrapText="1"/>
      <protection hidden="1"/>
    </xf>
    <xf numFmtId="0" fontId="31" fillId="51" borderId="18" xfId="0" applyFont="1" applyFill="1" applyBorder="1" applyAlignment="1" applyProtection="1">
      <alignment horizontal="center" vertical="center" wrapText="1"/>
      <protection hidden="1"/>
    </xf>
    <xf numFmtId="0" fontId="31" fillId="0" borderId="29" xfId="0" applyFont="1" applyBorder="1" applyAlignment="1" applyProtection="1">
      <alignment horizontal="left" vertical="center"/>
      <protection hidden="1"/>
    </xf>
    <xf numFmtId="0" fontId="31" fillId="0" borderId="44" xfId="0" applyFont="1" applyBorder="1" applyAlignment="1" applyProtection="1">
      <alignment horizontal="left" vertical="center"/>
      <protection hidden="1"/>
    </xf>
    <xf numFmtId="2" fontId="73" fillId="0" borderId="17" xfId="0" applyNumberFormat="1" applyFont="1" applyBorder="1" applyAlignment="1" applyProtection="1">
      <alignment horizontal="center" vertical="center" wrapText="1"/>
      <protection hidden="1"/>
    </xf>
    <xf numFmtId="2" fontId="73" fillId="0" borderId="18" xfId="0" applyNumberFormat="1" applyFont="1" applyBorder="1" applyAlignment="1" applyProtection="1">
      <alignment horizontal="center" vertical="center" wrapText="1"/>
      <protection hidden="1"/>
    </xf>
    <xf numFmtId="4" fontId="32" fillId="0" borderId="10" xfId="0" applyNumberFormat="1" applyFont="1" applyBorder="1" applyAlignment="1" applyProtection="1">
      <alignment horizontal="center" vertical="center"/>
      <protection hidden="1"/>
    </xf>
    <xf numFmtId="3" fontId="35" fillId="0" borderId="112" xfId="0" applyNumberFormat="1" applyFont="1" applyBorder="1" applyAlignment="1" applyProtection="1">
      <alignment horizontal="center" vertical="center"/>
      <protection hidden="1"/>
    </xf>
    <xf numFmtId="3" fontId="35" fillId="0" borderId="113" xfId="0" applyNumberFormat="1" applyFont="1" applyBorder="1" applyAlignment="1" applyProtection="1">
      <alignment horizontal="center" vertical="center"/>
      <protection hidden="1"/>
    </xf>
    <xf numFmtId="3" fontId="35" fillId="0" borderId="32" xfId="0" applyNumberFormat="1" applyFont="1" applyBorder="1" applyAlignment="1" applyProtection="1">
      <alignment horizontal="center" vertical="center"/>
      <protection hidden="1"/>
    </xf>
    <xf numFmtId="3" fontId="35" fillId="0" borderId="28" xfId="0" applyNumberFormat="1" applyFont="1" applyBorder="1" applyAlignment="1" applyProtection="1">
      <alignment horizontal="center" vertical="center"/>
      <protection hidden="1"/>
    </xf>
    <xf numFmtId="3" fontId="32" fillId="0" borderId="23" xfId="0" applyNumberFormat="1" applyFont="1" applyBorder="1" applyAlignment="1" applyProtection="1">
      <alignment horizontal="center" vertical="center" wrapText="1"/>
      <protection hidden="1"/>
    </xf>
    <xf numFmtId="3" fontId="32" fillId="0" borderId="46" xfId="0" applyNumberFormat="1" applyFont="1" applyBorder="1" applyAlignment="1" applyProtection="1">
      <alignment horizontal="center" vertical="center" wrapText="1"/>
      <protection hidden="1"/>
    </xf>
    <xf numFmtId="3" fontId="32" fillId="0" borderId="24" xfId="0" applyNumberFormat="1" applyFont="1" applyBorder="1" applyAlignment="1" applyProtection="1">
      <alignment horizontal="center" vertical="center" wrapText="1"/>
      <protection hidden="1"/>
    </xf>
    <xf numFmtId="3" fontId="32" fillId="0" borderId="45" xfId="0" applyNumberFormat="1" applyFont="1" applyBorder="1" applyAlignment="1" applyProtection="1">
      <alignment horizontal="center" vertical="center" wrapText="1"/>
      <protection hidden="1"/>
    </xf>
    <xf numFmtId="0" fontId="65" fillId="0" borderId="17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8" xfId="0" applyFont="1" applyBorder="1" applyAlignment="1">
      <alignment horizontal="center"/>
    </xf>
    <xf numFmtId="0" fontId="114" fillId="0" borderId="0" xfId="0" applyFont="1" applyAlignment="1" applyProtection="1">
      <alignment horizontal="left" vertical="center" wrapText="1"/>
      <protection hidden="1"/>
    </xf>
    <xf numFmtId="0" fontId="68" fillId="51" borderId="17" xfId="0" applyFont="1" applyFill="1" applyBorder="1" applyAlignment="1" applyProtection="1">
      <alignment horizontal="center" vertical="center" wrapText="1"/>
      <protection hidden="1"/>
    </xf>
    <xf numFmtId="0" fontId="68" fillId="51" borderId="18" xfId="0" applyFont="1" applyFill="1" applyBorder="1" applyAlignment="1" applyProtection="1">
      <alignment horizontal="center" vertical="center" wrapText="1"/>
      <protection hidden="1"/>
    </xf>
    <xf numFmtId="2" fontId="73" fillId="0" borderId="15" xfId="0" applyNumberFormat="1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left" vertical="top" wrapText="1"/>
      <protection hidden="1"/>
    </xf>
    <xf numFmtId="3" fontId="32" fillId="0" borderId="15" xfId="0" applyNumberFormat="1" applyFont="1" applyBorder="1" applyAlignment="1" applyProtection="1">
      <alignment horizontal="center" vertical="center"/>
      <protection hidden="1"/>
    </xf>
    <xf numFmtId="0" fontId="31" fillId="46" borderId="21" xfId="0" applyFont="1" applyFill="1" applyBorder="1" applyAlignment="1" applyProtection="1">
      <alignment horizontal="center" vertical="center" wrapText="1"/>
      <protection hidden="1"/>
    </xf>
    <xf numFmtId="0" fontId="31" fillId="46" borderId="19" xfId="0" applyFont="1" applyFill="1" applyBorder="1" applyAlignment="1" applyProtection="1">
      <alignment horizontal="center" vertical="center" wrapText="1"/>
      <protection hidden="1"/>
    </xf>
    <xf numFmtId="0" fontId="68" fillId="52" borderId="32" xfId="0" applyFont="1" applyFill="1" applyBorder="1" applyAlignment="1" applyProtection="1">
      <alignment horizontal="center" wrapText="1"/>
      <protection hidden="1"/>
    </xf>
    <xf numFmtId="0" fontId="68" fillId="52" borderId="0" xfId="0" applyFont="1" applyFill="1" applyAlignment="1" applyProtection="1">
      <alignment horizontal="center" wrapText="1"/>
      <protection hidden="1"/>
    </xf>
    <xf numFmtId="0" fontId="31" fillId="51" borderId="21" xfId="0" applyFont="1" applyFill="1" applyBorder="1" applyAlignment="1" applyProtection="1">
      <alignment horizontal="center" vertical="center" wrapText="1"/>
      <protection hidden="1"/>
    </xf>
    <xf numFmtId="0" fontId="31" fillId="51" borderId="19" xfId="0" applyFont="1" applyFill="1" applyBorder="1" applyAlignment="1" applyProtection="1">
      <alignment horizontal="center" vertical="center" wrapText="1"/>
      <protection hidden="1"/>
    </xf>
    <xf numFmtId="3" fontId="31" fillId="51" borderId="21" xfId="0" applyNumberFormat="1" applyFont="1" applyFill="1" applyBorder="1" applyAlignment="1" applyProtection="1">
      <alignment horizontal="center" vertical="center" wrapText="1"/>
      <protection hidden="1"/>
    </xf>
    <xf numFmtId="3" fontId="31" fillId="51" borderId="19" xfId="0" applyNumberFormat="1" applyFont="1" applyFill="1" applyBorder="1" applyAlignment="1" applyProtection="1">
      <alignment horizontal="center" vertical="center" wrapText="1"/>
      <protection hidden="1"/>
    </xf>
    <xf numFmtId="0" fontId="31" fillId="51" borderId="29" xfId="0" applyFont="1" applyFill="1" applyBorder="1" applyAlignment="1" applyProtection="1">
      <alignment horizontal="center" vertical="center"/>
      <protection hidden="1"/>
    </xf>
    <xf numFmtId="0" fontId="31" fillId="51" borderId="44" xfId="0" applyFont="1" applyFill="1" applyBorder="1" applyAlignment="1" applyProtection="1">
      <alignment horizontal="center" vertical="center"/>
      <protection hidden="1"/>
    </xf>
    <xf numFmtId="0" fontId="31" fillId="51" borderId="27" xfId="0" applyFont="1" applyFill="1" applyBorder="1" applyAlignment="1" applyProtection="1">
      <alignment horizontal="center" vertical="center"/>
      <protection hidden="1"/>
    </xf>
    <xf numFmtId="0" fontId="31" fillId="51" borderId="43" xfId="0" applyFont="1" applyFill="1" applyBorder="1" applyAlignment="1" applyProtection="1">
      <alignment horizontal="center" vertical="center"/>
      <protection hidden="1"/>
    </xf>
    <xf numFmtId="0" fontId="31" fillId="0" borderId="29" xfId="0" applyFont="1" applyBorder="1" applyAlignment="1" applyProtection="1">
      <alignment horizontal="center" vertical="center" wrapText="1"/>
      <protection hidden="1"/>
    </xf>
    <xf numFmtId="0" fontId="31" fillId="0" borderId="44" xfId="0" applyFont="1" applyBorder="1" applyAlignment="1" applyProtection="1">
      <alignment horizontal="center" vertical="center" wrapText="1"/>
      <protection hidden="1"/>
    </xf>
    <xf numFmtId="0" fontId="31" fillId="0" borderId="32" xfId="0" applyFont="1" applyBorder="1" applyAlignment="1" applyProtection="1">
      <alignment horizontal="center" vertical="center" wrapText="1"/>
      <protection hidden="1"/>
    </xf>
    <xf numFmtId="0" fontId="31" fillId="0" borderId="28" xfId="0" applyFont="1" applyBorder="1" applyAlignment="1" applyProtection="1">
      <alignment horizontal="center" vertical="center" wrapText="1"/>
      <protection hidden="1"/>
    </xf>
    <xf numFmtId="0" fontId="31" fillId="0" borderId="27" xfId="0" applyFont="1" applyBorder="1" applyAlignment="1" applyProtection="1">
      <alignment horizontal="center" vertical="center" wrapText="1"/>
      <protection hidden="1"/>
    </xf>
    <xf numFmtId="0" fontId="31" fillId="0" borderId="43" xfId="0" applyFont="1" applyBorder="1" applyAlignment="1" applyProtection="1">
      <alignment horizontal="center" vertical="center" wrapText="1"/>
      <protection hidden="1"/>
    </xf>
    <xf numFmtId="2" fontId="32" fillId="0" borderId="17" xfId="0" applyNumberFormat="1" applyFont="1" applyBorder="1" applyAlignment="1" applyProtection="1">
      <alignment horizontal="center" vertical="center" wrapText="1"/>
      <protection hidden="1"/>
    </xf>
    <xf numFmtId="2" fontId="32" fillId="0" borderId="15" xfId="0" applyNumberFormat="1" applyFont="1" applyBorder="1" applyAlignment="1" applyProtection="1">
      <alignment horizontal="center" vertical="center" wrapText="1"/>
      <protection hidden="1"/>
    </xf>
    <xf numFmtId="2" fontId="32" fillId="0" borderId="18" xfId="0" applyNumberFormat="1" applyFont="1" applyBorder="1" applyAlignment="1" applyProtection="1">
      <alignment horizontal="center" vertical="center" wrapText="1"/>
      <protection hidden="1"/>
    </xf>
    <xf numFmtId="0" fontId="73" fillId="0" borderId="10" xfId="0" applyFont="1" applyBorder="1" applyAlignment="1" applyProtection="1">
      <alignment horizontal="center" vertical="center" wrapText="1"/>
      <protection hidden="1"/>
    </xf>
    <xf numFmtId="3" fontId="35" fillId="0" borderId="22" xfId="0" applyNumberFormat="1" applyFont="1" applyBorder="1" applyAlignment="1" applyProtection="1">
      <alignment horizontal="center" vertical="center"/>
      <protection hidden="1"/>
    </xf>
    <xf numFmtId="3" fontId="35" fillId="0" borderId="52" xfId="0" applyNumberFormat="1" applyFont="1" applyBorder="1" applyAlignment="1" applyProtection="1">
      <alignment horizontal="center" vertical="center"/>
      <protection hidden="1"/>
    </xf>
    <xf numFmtId="3" fontId="35" fillId="0" borderId="23" xfId="0" applyNumberFormat="1" applyFont="1" applyBorder="1" applyAlignment="1" applyProtection="1">
      <alignment horizontal="center" vertical="center"/>
      <protection hidden="1"/>
    </xf>
    <xf numFmtId="3" fontId="35" fillId="0" borderId="46" xfId="0" applyNumberFormat="1" applyFont="1" applyBorder="1" applyAlignment="1" applyProtection="1">
      <alignment horizontal="center" vertical="center"/>
      <protection hidden="1"/>
    </xf>
    <xf numFmtId="3" fontId="35" fillId="0" borderId="24" xfId="0" applyNumberFormat="1" applyFont="1" applyBorder="1" applyAlignment="1" applyProtection="1">
      <alignment horizontal="center" vertical="center"/>
      <protection hidden="1"/>
    </xf>
    <xf numFmtId="3" fontId="35" fillId="0" borderId="45" xfId="0" applyNumberFormat="1" applyFont="1" applyBorder="1" applyAlignment="1" applyProtection="1">
      <alignment horizontal="center" vertical="center"/>
      <protection hidden="1"/>
    </xf>
    <xf numFmtId="0" fontId="48" fillId="47" borderId="0" xfId="341" applyFont="1" applyFill="1" applyAlignment="1">
      <alignment horizontal="center" vertical="center" wrapText="1"/>
    </xf>
    <xf numFmtId="0" fontId="48" fillId="47" borderId="25" xfId="341" applyFont="1" applyFill="1" applyBorder="1" applyAlignment="1">
      <alignment horizontal="center" vertical="center" wrapText="1"/>
    </xf>
    <xf numFmtId="0" fontId="31" fillId="0" borderId="21" xfId="314" applyFont="1" applyBorder="1" applyAlignment="1" applyProtection="1">
      <alignment horizontal="center" vertical="center" wrapText="1"/>
      <protection hidden="1"/>
    </xf>
    <xf numFmtId="0" fontId="31" fillId="0" borderId="13" xfId="314" applyFont="1" applyBorder="1" applyAlignment="1" applyProtection="1">
      <alignment horizontal="center" vertical="center" wrapText="1"/>
      <protection hidden="1"/>
    </xf>
    <xf numFmtId="0" fontId="31" fillId="0" borderId="19" xfId="314" applyFont="1" applyBorder="1" applyAlignment="1" applyProtection="1">
      <alignment horizontal="center" vertical="center" wrapText="1"/>
      <protection hidden="1"/>
    </xf>
    <xf numFmtId="2" fontId="32" fillId="0" borderId="21" xfId="318" applyNumberFormat="1" applyFont="1" applyBorder="1" applyAlignment="1" applyProtection="1">
      <alignment horizontal="center" vertical="center"/>
      <protection hidden="1"/>
    </xf>
    <xf numFmtId="2" fontId="32" fillId="0" borderId="13" xfId="318" applyNumberFormat="1" applyFont="1" applyBorder="1" applyAlignment="1" applyProtection="1">
      <alignment horizontal="center" vertical="center"/>
      <protection hidden="1"/>
    </xf>
    <xf numFmtId="2" fontId="32" fillId="0" borderId="19" xfId="318" applyNumberFormat="1" applyFont="1" applyBorder="1" applyAlignment="1" applyProtection="1">
      <alignment horizontal="center" vertical="center"/>
      <protection hidden="1"/>
    </xf>
    <xf numFmtId="2" fontId="32" fillId="0" borderId="10" xfId="0" applyNumberFormat="1" applyFont="1" applyBorder="1" applyAlignment="1" applyProtection="1">
      <alignment horizontal="center" vertical="center" wrapText="1"/>
      <protection hidden="1"/>
    </xf>
    <xf numFmtId="0" fontId="32" fillId="0" borderId="29" xfId="0" applyFont="1" applyBorder="1" applyAlignment="1" applyProtection="1">
      <alignment horizontal="center" vertical="center" wrapText="1"/>
      <protection hidden="1"/>
    </xf>
    <xf numFmtId="0" fontId="32" fillId="0" borderId="44" xfId="0" applyFont="1" applyBorder="1" applyAlignment="1" applyProtection="1">
      <alignment horizontal="center" vertical="center" wrapText="1"/>
      <protection hidden="1"/>
    </xf>
    <xf numFmtId="0" fontId="32" fillId="0" borderId="32" xfId="0" applyFont="1" applyBorder="1" applyAlignment="1" applyProtection="1">
      <alignment horizontal="center" vertical="center" wrapText="1"/>
      <protection hidden="1"/>
    </xf>
    <xf numFmtId="0" fontId="32" fillId="0" borderId="28" xfId="0" applyFont="1" applyBorder="1" applyAlignment="1" applyProtection="1">
      <alignment horizontal="center" vertical="center" wrapText="1"/>
      <protection hidden="1"/>
    </xf>
    <xf numFmtId="0" fontId="32" fillId="0" borderId="27" xfId="0" applyFont="1" applyBorder="1" applyAlignment="1" applyProtection="1">
      <alignment horizontal="center" vertical="center" wrapText="1"/>
      <protection hidden="1"/>
    </xf>
    <xf numFmtId="0" fontId="32" fillId="0" borderId="43" xfId="0" applyFont="1" applyBorder="1" applyAlignment="1" applyProtection="1">
      <alignment horizontal="center" vertical="center" wrapText="1"/>
      <protection hidden="1"/>
    </xf>
    <xf numFmtId="3" fontId="32" fillId="0" borderId="22" xfId="0" applyNumberFormat="1" applyFont="1" applyBorder="1" applyAlignment="1" applyProtection="1">
      <alignment horizontal="center" vertical="center" wrapText="1"/>
      <protection hidden="1"/>
    </xf>
    <xf numFmtId="3" fontId="32" fillId="0" borderId="52" xfId="0" applyNumberFormat="1" applyFont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left" vertical="top" wrapText="1"/>
      <protection hidden="1"/>
    </xf>
    <xf numFmtId="0" fontId="114" fillId="0" borderId="0" xfId="0" applyFont="1" applyAlignment="1" applyProtection="1">
      <alignment vertical="center" wrapText="1"/>
      <protection hidden="1"/>
    </xf>
    <xf numFmtId="0" fontId="114" fillId="0" borderId="84" xfId="0" applyFont="1" applyBorder="1" applyAlignment="1" applyProtection="1">
      <alignment horizontal="center" vertical="center" wrapText="1"/>
      <protection hidden="1"/>
    </xf>
    <xf numFmtId="0" fontId="114" fillId="0" borderId="63" xfId="0" applyFont="1" applyBorder="1" applyAlignment="1" applyProtection="1">
      <alignment horizontal="center" vertical="center" wrapText="1"/>
      <protection hidden="1"/>
    </xf>
    <xf numFmtId="0" fontId="114" fillId="0" borderId="85" xfId="0" applyFont="1" applyBorder="1" applyAlignment="1" applyProtection="1">
      <alignment horizontal="center" vertical="center" wrapText="1"/>
      <protection hidden="1"/>
    </xf>
    <xf numFmtId="0" fontId="114" fillId="0" borderId="83" xfId="0" applyFont="1" applyBorder="1" applyAlignment="1" applyProtection="1">
      <alignment horizontal="center" vertical="center" wrapText="1"/>
      <protection hidden="1"/>
    </xf>
    <xf numFmtId="0" fontId="114" fillId="0" borderId="0" xfId="0" applyFont="1" applyAlignment="1" applyProtection="1">
      <alignment horizontal="center" vertical="center" wrapText="1"/>
      <protection hidden="1"/>
    </xf>
    <xf numFmtId="0" fontId="114" fillId="0" borderId="86" xfId="0" applyFont="1" applyBorder="1" applyAlignment="1" applyProtection="1">
      <alignment horizontal="center" vertical="center" wrapText="1"/>
      <protection hidden="1"/>
    </xf>
    <xf numFmtId="0" fontId="114" fillId="0" borderId="87" xfId="0" applyFont="1" applyBorder="1" applyAlignment="1" applyProtection="1">
      <alignment horizontal="center" vertical="center" wrapText="1"/>
      <protection hidden="1"/>
    </xf>
    <xf numFmtId="0" fontId="114" fillId="0" borderId="88" xfId="0" applyFont="1" applyBorder="1" applyAlignment="1" applyProtection="1">
      <alignment horizontal="center" vertical="center" wrapText="1"/>
      <protection hidden="1"/>
    </xf>
    <xf numFmtId="0" fontId="114" fillId="0" borderId="89" xfId="0" applyFont="1" applyBorder="1" applyAlignment="1" applyProtection="1">
      <alignment horizontal="center" vertical="center" wrapText="1"/>
      <protection hidden="1"/>
    </xf>
    <xf numFmtId="0" fontId="35" fillId="0" borderId="201" xfId="0" applyFont="1" applyBorder="1" applyAlignment="1" applyProtection="1">
      <alignment horizontal="left" vertical="top" wrapText="1"/>
      <protection hidden="1"/>
    </xf>
    <xf numFmtId="0" fontId="35" fillId="0" borderId="54" xfId="0" applyFont="1" applyBorder="1" applyAlignment="1" applyProtection="1">
      <alignment horizontal="left" vertical="top" wrapText="1"/>
      <protection hidden="1"/>
    </xf>
    <xf numFmtId="0" fontId="35" fillId="0" borderId="148" xfId="0" applyFont="1" applyBorder="1" applyAlignment="1" applyProtection="1">
      <alignment horizontal="left" vertical="top" wrapText="1"/>
      <protection hidden="1"/>
    </xf>
    <xf numFmtId="0" fontId="35" fillId="0" borderId="0" xfId="0" applyFont="1" applyAlignment="1" applyProtection="1">
      <alignment horizontal="left" vertical="center" wrapText="1"/>
      <protection hidden="1"/>
    </xf>
    <xf numFmtId="0" fontId="117" fillId="0" borderId="25" xfId="340" applyFont="1" applyBorder="1" applyAlignment="1" applyProtection="1">
      <alignment horizontal="center" vertical="center" wrapText="1"/>
      <protection hidden="1"/>
    </xf>
    <xf numFmtId="3" fontId="32" fillId="0" borderId="21" xfId="318" applyNumberFormat="1" applyFont="1" applyBorder="1" applyAlignment="1" applyProtection="1">
      <alignment horizontal="center" vertical="center"/>
      <protection hidden="1"/>
    </xf>
    <xf numFmtId="3" fontId="32" fillId="0" borderId="19" xfId="318" applyNumberFormat="1" applyFont="1" applyBorder="1" applyAlignment="1" applyProtection="1">
      <alignment horizontal="center" vertical="center"/>
      <protection hidden="1"/>
    </xf>
    <xf numFmtId="3" fontId="35" fillId="0" borderId="21" xfId="318" applyNumberFormat="1" applyFont="1" applyBorder="1" applyAlignment="1" applyProtection="1">
      <alignment horizontal="center" vertical="center"/>
      <protection hidden="1"/>
    </xf>
    <xf numFmtId="3" fontId="35" fillId="0" borderId="19" xfId="318" applyNumberFormat="1" applyFont="1" applyBorder="1" applyAlignment="1" applyProtection="1">
      <alignment horizontal="center" vertical="center"/>
      <protection hidden="1"/>
    </xf>
    <xf numFmtId="0" fontId="31" fillId="0" borderId="17" xfId="0" applyFont="1" applyBorder="1" applyAlignment="1" applyProtection="1">
      <alignment horizontal="center" vertical="center"/>
      <protection hidden="1"/>
    </xf>
    <xf numFmtId="0" fontId="31" fillId="0" borderId="18" xfId="0" applyFont="1" applyBorder="1" applyAlignment="1" applyProtection="1">
      <alignment horizontal="center" vertical="center"/>
      <protection hidden="1"/>
    </xf>
    <xf numFmtId="3" fontId="32" fillId="0" borderId="21" xfId="0" applyNumberFormat="1" applyFont="1" applyBorder="1" applyAlignment="1" applyProtection="1">
      <alignment horizontal="center" vertical="center" wrapText="1"/>
      <protection hidden="1"/>
    </xf>
    <xf numFmtId="3" fontId="32" fillId="0" borderId="19" xfId="0" applyNumberFormat="1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>
      <alignment horizontal="left" vertical="center" wrapText="1"/>
    </xf>
    <xf numFmtId="0" fontId="37" fillId="0" borderId="25" xfId="340" applyFont="1" applyBorder="1" applyAlignment="1" applyProtection="1">
      <alignment horizontal="center" vertical="center" wrapText="1"/>
      <protection hidden="1"/>
    </xf>
    <xf numFmtId="0" fontId="31" fillId="55" borderId="29" xfId="318" applyFont="1" applyFill="1" applyBorder="1" applyAlignment="1" applyProtection="1">
      <alignment horizontal="center" vertical="center" wrapText="1"/>
      <protection hidden="1"/>
    </xf>
    <xf numFmtId="0" fontId="31" fillId="55" borderId="35" xfId="318" applyFont="1" applyFill="1" applyBorder="1" applyAlignment="1" applyProtection="1">
      <alignment horizontal="center" vertical="center" wrapText="1"/>
      <protection hidden="1"/>
    </xf>
    <xf numFmtId="0" fontId="31" fillId="55" borderId="44" xfId="318" applyFont="1" applyFill="1" applyBorder="1" applyAlignment="1" applyProtection="1">
      <alignment horizontal="center" vertical="center" wrapText="1"/>
      <protection hidden="1"/>
    </xf>
    <xf numFmtId="0" fontId="31" fillId="55" borderId="21" xfId="318" applyFont="1" applyFill="1" applyBorder="1" applyAlignment="1" applyProtection="1">
      <alignment horizontal="center" vertical="center" wrapText="1"/>
      <protection hidden="1"/>
    </xf>
    <xf numFmtId="0" fontId="31" fillId="55" borderId="19" xfId="318" applyFont="1" applyFill="1" applyBorder="1" applyAlignment="1" applyProtection="1">
      <alignment horizontal="center" vertical="center" wrapText="1"/>
      <protection hidden="1"/>
    </xf>
    <xf numFmtId="0" fontId="31" fillId="55" borderId="10" xfId="318" applyFont="1" applyFill="1" applyBorder="1" applyAlignment="1" applyProtection="1">
      <alignment horizontal="center" vertical="center" wrapText="1"/>
      <protection hidden="1"/>
    </xf>
    <xf numFmtId="3" fontId="31" fillId="55" borderId="21" xfId="318" applyNumberFormat="1" applyFont="1" applyFill="1" applyBorder="1" applyAlignment="1" applyProtection="1">
      <alignment horizontal="center" vertical="center" wrapText="1"/>
      <protection hidden="1"/>
    </xf>
    <xf numFmtId="3" fontId="31" fillId="55" borderId="19" xfId="318" applyNumberFormat="1" applyFont="1" applyFill="1" applyBorder="1" applyAlignment="1" applyProtection="1">
      <alignment horizontal="center" vertical="center" wrapText="1"/>
      <protection hidden="1"/>
    </xf>
    <xf numFmtId="0" fontId="31" fillId="66" borderId="17" xfId="318" applyFont="1" applyFill="1" applyBorder="1" applyAlignment="1" applyProtection="1">
      <alignment horizontal="center" vertical="center" wrapText="1"/>
      <protection hidden="1"/>
    </xf>
    <xf numFmtId="0" fontId="31" fillId="66" borderId="15" xfId="318" applyFont="1" applyFill="1" applyBorder="1" applyAlignment="1" applyProtection="1">
      <alignment horizontal="center" vertical="center" wrapText="1"/>
      <protection hidden="1"/>
    </xf>
    <xf numFmtId="3" fontId="32" fillId="65" borderId="21" xfId="318" applyNumberFormat="1" applyFont="1" applyFill="1" applyBorder="1" applyAlignment="1" applyProtection="1">
      <alignment horizontal="center" vertical="center" wrapText="1"/>
      <protection hidden="1"/>
    </xf>
    <xf numFmtId="3" fontId="32" fillId="65" borderId="19" xfId="318" applyNumberFormat="1" applyFont="1" applyFill="1" applyBorder="1" applyAlignment="1" applyProtection="1">
      <alignment horizontal="center" vertical="center" wrapText="1"/>
      <protection hidden="1"/>
    </xf>
    <xf numFmtId="0" fontId="32" fillId="65" borderId="21" xfId="318" applyFont="1" applyFill="1" applyBorder="1" applyAlignment="1" applyProtection="1">
      <alignment horizontal="center" vertical="center" wrapText="1"/>
      <protection hidden="1"/>
    </xf>
    <xf numFmtId="0" fontId="32" fillId="65" borderId="19" xfId="318" applyFont="1" applyFill="1" applyBorder="1" applyAlignment="1" applyProtection="1">
      <alignment horizontal="center" vertical="center" wrapText="1"/>
      <protection hidden="1"/>
    </xf>
    <xf numFmtId="0" fontId="32" fillId="65" borderId="29" xfId="318" applyFont="1" applyFill="1" applyBorder="1" applyAlignment="1" applyProtection="1">
      <alignment horizontal="center" vertical="center" wrapText="1"/>
      <protection hidden="1"/>
    </xf>
    <xf numFmtId="0" fontId="32" fillId="65" borderId="44" xfId="318" applyFont="1" applyFill="1" applyBorder="1" applyAlignment="1" applyProtection="1">
      <alignment horizontal="center" vertical="center" wrapText="1"/>
      <protection hidden="1"/>
    </xf>
    <xf numFmtId="3" fontId="32" fillId="65" borderId="29" xfId="318" applyNumberFormat="1" applyFont="1" applyFill="1" applyBorder="1" applyAlignment="1" applyProtection="1">
      <alignment horizontal="center" vertical="center" wrapText="1"/>
      <protection hidden="1"/>
    </xf>
    <xf numFmtId="3" fontId="32" fillId="65" borderId="44" xfId="318" applyNumberFormat="1" applyFont="1" applyFill="1" applyBorder="1" applyAlignment="1" applyProtection="1">
      <alignment horizontal="center" vertical="center" wrapText="1"/>
      <protection hidden="1"/>
    </xf>
    <xf numFmtId="0" fontId="31" fillId="65" borderId="29" xfId="318" applyFont="1" applyFill="1" applyBorder="1" applyAlignment="1" applyProtection="1">
      <alignment horizontal="center" vertical="center" wrapText="1"/>
      <protection hidden="1"/>
    </xf>
    <xf numFmtId="0" fontId="31" fillId="65" borderId="35" xfId="318" applyFont="1" applyFill="1" applyBorder="1" applyAlignment="1" applyProtection="1">
      <alignment horizontal="center" vertical="center" wrapText="1"/>
      <protection hidden="1"/>
    </xf>
    <xf numFmtId="0" fontId="31" fillId="65" borderId="44" xfId="318" applyFont="1" applyFill="1" applyBorder="1" applyAlignment="1" applyProtection="1">
      <alignment horizontal="center" vertical="center" wrapText="1"/>
      <protection hidden="1"/>
    </xf>
    <xf numFmtId="0" fontId="31" fillId="65" borderId="27" xfId="318" applyFont="1" applyFill="1" applyBorder="1" applyAlignment="1" applyProtection="1">
      <alignment horizontal="center" vertical="center" wrapText="1"/>
      <protection hidden="1"/>
    </xf>
    <xf numFmtId="0" fontId="31" fillId="65" borderId="25" xfId="318" applyFont="1" applyFill="1" applyBorder="1" applyAlignment="1" applyProtection="1">
      <alignment horizontal="center" vertical="center" wrapText="1"/>
      <protection hidden="1"/>
    </xf>
    <xf numFmtId="0" fontId="31" fillId="65" borderId="43" xfId="318" applyFont="1" applyFill="1" applyBorder="1" applyAlignment="1" applyProtection="1">
      <alignment horizontal="center" vertical="center" wrapText="1"/>
      <protection hidden="1"/>
    </xf>
    <xf numFmtId="0" fontId="31" fillId="66" borderId="18" xfId="318" applyFont="1" applyFill="1" applyBorder="1" applyAlignment="1" applyProtection="1">
      <alignment horizontal="center" vertical="center" wrapText="1"/>
      <protection hidden="1"/>
    </xf>
    <xf numFmtId="0" fontId="32" fillId="0" borderId="21" xfId="318" applyFont="1" applyBorder="1" applyAlignment="1" applyProtection="1">
      <alignment horizontal="center" vertical="center" wrapText="1"/>
      <protection hidden="1"/>
    </xf>
    <xf numFmtId="0" fontId="32" fillId="0" borderId="19" xfId="318" applyFont="1" applyBorder="1" applyAlignment="1" applyProtection="1">
      <alignment horizontal="center" vertical="center" wrapText="1"/>
      <protection hidden="1"/>
    </xf>
    <xf numFmtId="3" fontId="32" fillId="0" borderId="21" xfId="318" applyNumberFormat="1" applyFont="1" applyBorder="1" applyAlignment="1" applyProtection="1">
      <alignment horizontal="center" vertical="center" wrapText="1"/>
      <protection hidden="1"/>
    </xf>
    <xf numFmtId="3" fontId="32" fillId="0" borderId="19" xfId="318" applyNumberFormat="1" applyFont="1" applyBorder="1" applyAlignment="1" applyProtection="1">
      <alignment horizontal="center" vertical="center" wrapText="1"/>
      <protection hidden="1"/>
    </xf>
    <xf numFmtId="3" fontId="110" fillId="57" borderId="21" xfId="318" applyNumberFormat="1" applyFont="1" applyFill="1" applyBorder="1" applyAlignment="1" applyProtection="1">
      <alignment horizontal="center" vertical="center" wrapText="1"/>
      <protection hidden="1"/>
    </xf>
    <xf numFmtId="3" fontId="110" fillId="57" borderId="19" xfId="318" applyNumberFormat="1" applyFont="1" applyFill="1" applyBorder="1" applyAlignment="1" applyProtection="1">
      <alignment horizontal="center" vertical="center" wrapText="1"/>
      <protection hidden="1"/>
    </xf>
    <xf numFmtId="0" fontId="31" fillId="0" borderId="29" xfId="318" applyFont="1" applyBorder="1" applyAlignment="1" applyProtection="1">
      <alignment horizontal="center" vertical="center" wrapText="1"/>
      <protection hidden="1"/>
    </xf>
    <xf numFmtId="0" fontId="31" fillId="0" borderId="35" xfId="318" applyFont="1" applyBorder="1" applyAlignment="1" applyProtection="1">
      <alignment horizontal="center" vertical="center" wrapText="1"/>
      <protection hidden="1"/>
    </xf>
    <xf numFmtId="0" fontId="31" fillId="0" borderId="161" xfId="318" applyFont="1" applyBorder="1" applyAlignment="1" applyProtection="1">
      <alignment horizontal="center" vertical="center" wrapText="1"/>
      <protection hidden="1"/>
    </xf>
    <xf numFmtId="0" fontId="31" fillId="0" borderId="32" xfId="318" applyFont="1" applyBorder="1" applyAlignment="1" applyProtection="1">
      <alignment horizontal="center" vertical="center" wrapText="1"/>
      <protection hidden="1"/>
    </xf>
    <xf numFmtId="0" fontId="31" fillId="0" borderId="0" xfId="318" applyFont="1" applyAlignment="1" applyProtection="1">
      <alignment horizontal="center" vertical="center" wrapText="1"/>
      <protection hidden="1"/>
    </xf>
    <xf numFmtId="0" fontId="31" fillId="0" borderId="162" xfId="318" applyFont="1" applyBorder="1" applyAlignment="1" applyProtection="1">
      <alignment horizontal="center" vertical="center" wrapText="1"/>
      <protection hidden="1"/>
    </xf>
    <xf numFmtId="0" fontId="31" fillId="0" borderId="27" xfId="318" applyFont="1" applyBorder="1" applyAlignment="1" applyProtection="1">
      <alignment horizontal="center" vertical="center" wrapText="1"/>
      <protection hidden="1"/>
    </xf>
    <xf numFmtId="0" fontId="31" fillId="0" borderId="25" xfId="318" applyFont="1" applyBorder="1" applyAlignment="1" applyProtection="1">
      <alignment horizontal="center" vertical="center" wrapText="1"/>
      <protection hidden="1"/>
    </xf>
    <xf numFmtId="0" fontId="31" fillId="0" borderId="163" xfId="318" applyFont="1" applyBorder="1" applyAlignment="1" applyProtection="1">
      <alignment horizontal="center" vertical="center" wrapText="1"/>
      <protection hidden="1"/>
    </xf>
    <xf numFmtId="0" fontId="31" fillId="0" borderId="15" xfId="318" applyFont="1" applyBorder="1" applyAlignment="1" applyProtection="1">
      <alignment horizontal="center" vertical="center" wrapText="1"/>
      <protection hidden="1"/>
    </xf>
    <xf numFmtId="0" fontId="31" fillId="0" borderId="18" xfId="318" applyFont="1" applyBorder="1" applyAlignment="1" applyProtection="1">
      <alignment horizontal="center" vertical="center" wrapText="1"/>
      <protection hidden="1"/>
    </xf>
    <xf numFmtId="0" fontId="32" fillId="0" borderId="32" xfId="318" applyFont="1" applyBorder="1" applyAlignment="1" applyProtection="1">
      <alignment horizontal="center" vertical="center" wrapText="1"/>
      <protection hidden="1"/>
    </xf>
    <xf numFmtId="0" fontId="32" fillId="0" borderId="28" xfId="318" applyFont="1" applyBorder="1" applyAlignment="1" applyProtection="1">
      <alignment horizontal="center" vertical="center" wrapText="1"/>
      <protection hidden="1"/>
    </xf>
    <xf numFmtId="0" fontId="32" fillId="0" borderId="27" xfId="318" applyFont="1" applyBorder="1" applyAlignment="1" applyProtection="1">
      <alignment horizontal="center" vertical="center" wrapText="1"/>
      <protection hidden="1"/>
    </xf>
    <xf numFmtId="0" fontId="32" fillId="0" borderId="43" xfId="318" applyFont="1" applyBorder="1" applyAlignment="1" applyProtection="1">
      <alignment horizontal="center" vertical="center" wrapText="1"/>
      <protection hidden="1"/>
    </xf>
    <xf numFmtId="2" fontId="32" fillId="0" borderId="15" xfId="318" applyNumberFormat="1" applyFont="1" applyBorder="1" applyAlignment="1" applyProtection="1">
      <alignment horizontal="center" vertical="center" wrapText="1"/>
      <protection hidden="1"/>
    </xf>
    <xf numFmtId="2" fontId="32" fillId="0" borderId="18" xfId="318" applyNumberFormat="1" applyFont="1" applyBorder="1" applyAlignment="1" applyProtection="1">
      <alignment horizontal="center" vertical="center" wrapText="1"/>
      <protection hidden="1"/>
    </xf>
    <xf numFmtId="3" fontId="32" fillId="0" borderId="32" xfId="318" applyNumberFormat="1" applyFont="1" applyBorder="1" applyAlignment="1" applyProtection="1">
      <alignment horizontal="center" wrapText="1"/>
      <protection hidden="1"/>
    </xf>
    <xf numFmtId="3" fontId="32" fillId="0" borderId="28" xfId="318" applyNumberFormat="1" applyFont="1" applyBorder="1" applyAlignment="1" applyProtection="1">
      <alignment horizontal="center" wrapText="1"/>
      <protection hidden="1"/>
    </xf>
    <xf numFmtId="3" fontId="149" fillId="0" borderId="27" xfId="318" applyNumberFormat="1" applyFont="1" applyBorder="1" applyAlignment="1" applyProtection="1">
      <alignment horizontal="center" vertical="center" wrapText="1"/>
      <protection hidden="1"/>
    </xf>
    <xf numFmtId="3" fontId="149" fillId="0" borderId="43" xfId="318" applyNumberFormat="1" applyFont="1" applyBorder="1" applyAlignment="1" applyProtection="1">
      <alignment horizontal="center" vertical="center" wrapText="1"/>
      <protection hidden="1"/>
    </xf>
    <xf numFmtId="0" fontId="160" fillId="0" borderId="148" xfId="318" applyFont="1" applyBorder="1" applyAlignment="1" applyProtection="1">
      <alignment horizontal="center" vertical="center" wrapText="1"/>
      <protection hidden="1"/>
    </xf>
    <xf numFmtId="0" fontId="160" fillId="0" borderId="28" xfId="318" applyFont="1" applyBorder="1" applyAlignment="1" applyProtection="1">
      <alignment horizontal="center" vertical="center" wrapText="1"/>
      <protection hidden="1"/>
    </xf>
    <xf numFmtId="0" fontId="160" fillId="0" borderId="141" xfId="318" applyFont="1" applyBorder="1" applyAlignment="1" applyProtection="1">
      <alignment horizontal="center" vertical="center" wrapText="1"/>
      <protection hidden="1"/>
    </xf>
    <xf numFmtId="0" fontId="160" fillId="0" borderId="43" xfId="318" applyFont="1" applyBorder="1" applyAlignment="1" applyProtection="1">
      <alignment horizontal="center" vertical="center" wrapText="1"/>
      <protection hidden="1"/>
    </xf>
    <xf numFmtId="0" fontId="31" fillId="0" borderId="149" xfId="318" applyFont="1" applyBorder="1" applyAlignment="1" applyProtection="1">
      <alignment horizontal="center" vertical="center" wrapText="1"/>
      <protection hidden="1"/>
    </xf>
    <xf numFmtId="0" fontId="31" fillId="0" borderId="155" xfId="318" applyFont="1" applyBorder="1" applyAlignment="1" applyProtection="1">
      <alignment horizontal="center" vertical="center" wrapText="1"/>
      <protection hidden="1"/>
    </xf>
    <xf numFmtId="0" fontId="31" fillId="65" borderId="150" xfId="318" applyFont="1" applyFill="1" applyBorder="1" applyAlignment="1" applyProtection="1">
      <alignment horizontal="center" vertical="center" wrapText="1"/>
      <protection hidden="1"/>
    </xf>
    <xf numFmtId="0" fontId="31" fillId="65" borderId="151" xfId="318" applyFont="1" applyFill="1" applyBorder="1" applyAlignment="1" applyProtection="1">
      <alignment horizontal="center" vertical="center" wrapText="1"/>
      <protection hidden="1"/>
    </xf>
    <xf numFmtId="0" fontId="31" fillId="65" borderId="152" xfId="318" applyFont="1" applyFill="1" applyBorder="1" applyAlignment="1" applyProtection="1">
      <alignment horizontal="center" vertical="center" wrapText="1"/>
      <protection hidden="1"/>
    </xf>
    <xf numFmtId="0" fontId="31" fillId="65" borderId="156" xfId="318" applyFont="1" applyFill="1" applyBorder="1" applyAlignment="1" applyProtection="1">
      <alignment horizontal="center" vertical="center" wrapText="1"/>
      <protection hidden="1"/>
    </xf>
    <xf numFmtId="0" fontId="31" fillId="65" borderId="157" xfId="318" applyFont="1" applyFill="1" applyBorder="1" applyAlignment="1" applyProtection="1">
      <alignment horizontal="center" vertical="center" wrapText="1"/>
      <protection hidden="1"/>
    </xf>
    <xf numFmtId="0" fontId="31" fillId="65" borderId="158" xfId="318" applyFont="1" applyFill="1" applyBorder="1" applyAlignment="1" applyProtection="1">
      <alignment horizontal="center" vertical="center" wrapText="1"/>
      <protection hidden="1"/>
    </xf>
    <xf numFmtId="0" fontId="32" fillId="65" borderId="150" xfId="318" applyFont="1" applyFill="1" applyBorder="1" applyAlignment="1" applyProtection="1">
      <alignment horizontal="center" vertical="center" wrapText="1"/>
      <protection hidden="1"/>
    </xf>
    <xf numFmtId="0" fontId="32" fillId="65" borderId="152" xfId="318" applyFont="1" applyFill="1" applyBorder="1" applyAlignment="1" applyProtection="1">
      <alignment horizontal="center" vertical="center" wrapText="1"/>
      <protection hidden="1"/>
    </xf>
    <xf numFmtId="0" fontId="32" fillId="65" borderId="156" xfId="318" applyFont="1" applyFill="1" applyBorder="1" applyAlignment="1" applyProtection="1">
      <alignment horizontal="center" vertical="center" wrapText="1"/>
      <protection hidden="1"/>
    </xf>
    <xf numFmtId="0" fontId="32" fillId="65" borderId="158" xfId="318" applyFont="1" applyFill="1" applyBorder="1" applyAlignment="1" applyProtection="1">
      <alignment horizontal="center" vertical="center" wrapText="1"/>
      <protection hidden="1"/>
    </xf>
    <xf numFmtId="2" fontId="32" fillId="65" borderId="153" xfId="318" applyNumberFormat="1" applyFont="1" applyFill="1" applyBorder="1" applyAlignment="1" applyProtection="1">
      <alignment horizontal="center" vertical="center" wrapText="1"/>
      <protection hidden="1"/>
    </xf>
    <xf numFmtId="2" fontId="32" fillId="65" borderId="159" xfId="318" applyNumberFormat="1" applyFont="1" applyFill="1" applyBorder="1" applyAlignment="1" applyProtection="1">
      <alignment horizontal="center" vertical="center" wrapText="1"/>
      <protection hidden="1"/>
    </xf>
    <xf numFmtId="3" fontId="32" fillId="65" borderId="150" xfId="318" applyNumberFormat="1" applyFont="1" applyFill="1" applyBorder="1" applyAlignment="1" applyProtection="1">
      <alignment horizontal="center" vertical="center"/>
      <protection hidden="1"/>
    </xf>
    <xf numFmtId="3" fontId="32" fillId="65" borderId="154" xfId="318" applyNumberFormat="1" applyFont="1" applyFill="1" applyBorder="1" applyAlignment="1" applyProtection="1">
      <alignment horizontal="center" vertical="center"/>
      <protection hidden="1"/>
    </xf>
    <xf numFmtId="3" fontId="32" fillId="65" borderId="156" xfId="318" applyNumberFormat="1" applyFont="1" applyFill="1" applyBorder="1" applyAlignment="1" applyProtection="1">
      <alignment horizontal="center" vertical="center"/>
      <protection hidden="1"/>
    </xf>
    <xf numFmtId="3" fontId="32" fillId="65" borderId="160" xfId="318" applyNumberFormat="1" applyFont="1" applyFill="1" applyBorder="1" applyAlignment="1" applyProtection="1">
      <alignment horizontal="center" vertical="center"/>
      <protection hidden="1"/>
    </xf>
    <xf numFmtId="166" fontId="32" fillId="0" borderId="21" xfId="318" applyNumberFormat="1" applyFont="1" applyBorder="1" applyAlignment="1" applyProtection="1">
      <alignment horizontal="center" vertical="center"/>
      <protection hidden="1"/>
    </xf>
    <xf numFmtId="166" fontId="32" fillId="0" borderId="19" xfId="318" applyNumberFormat="1" applyFont="1" applyBorder="1" applyAlignment="1" applyProtection="1">
      <alignment horizontal="center" vertical="center"/>
      <protection hidden="1"/>
    </xf>
    <xf numFmtId="3" fontId="32" fillId="0" borderId="10" xfId="318" applyNumberFormat="1" applyFont="1" applyBorder="1" applyAlignment="1" applyProtection="1">
      <alignment horizontal="center" vertical="center" wrapText="1"/>
      <protection hidden="1"/>
    </xf>
    <xf numFmtId="3" fontId="35" fillId="0" borderId="10" xfId="318" applyNumberFormat="1" applyFont="1" applyBorder="1" applyAlignment="1" applyProtection="1">
      <alignment horizontal="center" vertical="center"/>
      <protection hidden="1"/>
    </xf>
    <xf numFmtId="0" fontId="31" fillId="0" borderId="17" xfId="318" applyFont="1" applyBorder="1" applyAlignment="1" applyProtection="1">
      <alignment horizontal="center" vertical="center" wrapText="1"/>
      <protection hidden="1"/>
    </xf>
    <xf numFmtId="0" fontId="32" fillId="0" borderId="10" xfId="318" applyFont="1" applyBorder="1" applyAlignment="1" applyProtection="1">
      <alignment horizontal="center" vertical="center" wrapText="1"/>
      <protection hidden="1"/>
    </xf>
    <xf numFmtId="0" fontId="110" fillId="47" borderId="10" xfId="318" applyFont="1" applyFill="1" applyBorder="1" applyAlignment="1">
      <alignment horizontal="center" vertical="center"/>
    </xf>
    <xf numFmtId="9" fontId="46" fillId="0" borderId="10" xfId="357" applyFont="1" applyBorder="1" applyAlignment="1">
      <alignment horizontal="center" vertical="center"/>
    </xf>
    <xf numFmtId="0" fontId="31" fillId="65" borderId="32" xfId="318" applyFont="1" applyFill="1" applyBorder="1" applyAlignment="1" applyProtection="1">
      <alignment horizontal="center" vertical="center" wrapText="1"/>
      <protection hidden="1"/>
    </xf>
    <xf numFmtId="0" fontId="31" fillId="65" borderId="0" xfId="318" applyFont="1" applyFill="1" applyAlignment="1" applyProtection="1">
      <alignment horizontal="center" vertical="center" wrapText="1"/>
      <protection hidden="1"/>
    </xf>
    <xf numFmtId="0" fontId="31" fillId="65" borderId="28" xfId="318" applyFont="1" applyFill="1" applyBorder="1" applyAlignment="1" applyProtection="1">
      <alignment horizontal="center" vertical="center" wrapText="1"/>
      <protection hidden="1"/>
    </xf>
    <xf numFmtId="0" fontId="31" fillId="0" borderId="10" xfId="318" applyFont="1" applyBorder="1" applyAlignment="1" applyProtection="1">
      <alignment horizontal="center" vertical="center" wrapText="1"/>
      <protection hidden="1"/>
    </xf>
    <xf numFmtId="0" fontId="32" fillId="0" borderId="25" xfId="318" applyFont="1" applyBorder="1" applyAlignment="1" applyProtection="1">
      <alignment horizontal="center" vertical="center" wrapText="1"/>
      <protection hidden="1"/>
    </xf>
    <xf numFmtId="0" fontId="31" fillId="0" borderId="21" xfId="318" applyFont="1" applyBorder="1" applyAlignment="1" applyProtection="1">
      <alignment horizontal="center" vertical="center" wrapText="1"/>
      <protection hidden="1"/>
    </xf>
    <xf numFmtId="0" fontId="31" fillId="0" borderId="13" xfId="318" applyFont="1" applyBorder="1" applyAlignment="1" applyProtection="1">
      <alignment horizontal="center" vertical="center" wrapText="1"/>
      <protection hidden="1"/>
    </xf>
    <xf numFmtId="0" fontId="31" fillId="0" borderId="19" xfId="318" applyFont="1" applyBorder="1" applyAlignment="1" applyProtection="1">
      <alignment horizontal="center" vertical="center" wrapText="1"/>
      <protection hidden="1"/>
    </xf>
    <xf numFmtId="4" fontId="32" fillId="0" borderId="21" xfId="318" applyNumberFormat="1" applyFont="1" applyBorder="1" applyAlignment="1" applyProtection="1">
      <alignment horizontal="center" vertical="center" wrapText="1"/>
      <protection hidden="1"/>
    </xf>
    <xf numFmtId="4" fontId="32" fillId="0" borderId="13" xfId="318" applyNumberFormat="1" applyFont="1" applyBorder="1" applyAlignment="1" applyProtection="1">
      <alignment horizontal="center" vertical="center" wrapText="1"/>
      <protection hidden="1"/>
    </xf>
    <xf numFmtId="4" fontId="32" fillId="0" borderId="19" xfId="318" applyNumberFormat="1" applyFont="1" applyBorder="1" applyAlignment="1" applyProtection="1">
      <alignment horizontal="center" vertical="center" wrapText="1"/>
      <protection hidden="1"/>
    </xf>
    <xf numFmtId="0" fontId="32" fillId="0" borderId="13" xfId="318" applyFont="1" applyBorder="1" applyAlignment="1" applyProtection="1">
      <alignment horizontal="center" vertical="center" wrapText="1"/>
      <protection hidden="1"/>
    </xf>
    <xf numFmtId="4" fontId="32" fillId="0" borderId="17" xfId="318" applyNumberFormat="1" applyFont="1" applyBorder="1" applyAlignment="1" applyProtection="1">
      <alignment horizontal="center" vertical="center"/>
      <protection hidden="1"/>
    </xf>
    <xf numFmtId="4" fontId="32" fillId="0" borderId="18" xfId="318" applyNumberFormat="1" applyFont="1" applyBorder="1" applyAlignment="1" applyProtection="1">
      <alignment horizontal="center" vertical="center"/>
      <protection hidden="1"/>
    </xf>
    <xf numFmtId="0" fontId="160" fillId="0" borderId="140" xfId="318" applyFont="1" applyBorder="1" applyAlignment="1" applyProtection="1">
      <alignment horizontal="center" vertical="center" wrapText="1"/>
      <protection hidden="1"/>
    </xf>
    <xf numFmtId="0" fontId="160" fillId="0" borderId="44" xfId="318" applyFont="1" applyBorder="1" applyAlignment="1" applyProtection="1">
      <alignment horizontal="center" vertical="center" wrapText="1"/>
      <protection hidden="1"/>
    </xf>
    <xf numFmtId="0" fontId="3" fillId="0" borderId="17" xfId="318" applyBorder="1" applyAlignment="1">
      <alignment horizontal="center"/>
    </xf>
    <xf numFmtId="0" fontId="3" fillId="0" borderId="18" xfId="318" applyBorder="1" applyAlignment="1">
      <alignment horizontal="center"/>
    </xf>
    <xf numFmtId="0" fontId="31" fillId="0" borderId="44" xfId="318" applyFont="1" applyBorder="1" applyAlignment="1" applyProtection="1">
      <alignment horizontal="center" vertical="center" wrapText="1"/>
      <protection hidden="1"/>
    </xf>
    <xf numFmtId="0" fontId="31" fillId="0" borderId="43" xfId="318" applyFont="1" applyBorder="1" applyAlignment="1" applyProtection="1">
      <alignment horizontal="center" vertical="center" wrapText="1"/>
      <protection hidden="1"/>
    </xf>
    <xf numFmtId="166" fontId="32" fillId="0" borderId="29" xfId="318" applyNumberFormat="1" applyFont="1" applyBorder="1" applyAlignment="1" applyProtection="1">
      <alignment horizontal="center" vertical="center"/>
      <protection hidden="1"/>
    </xf>
    <xf numFmtId="166" fontId="32" fillId="0" borderId="44" xfId="318" applyNumberFormat="1" applyFont="1" applyBorder="1" applyAlignment="1" applyProtection="1">
      <alignment horizontal="center" vertical="center"/>
      <protection hidden="1"/>
    </xf>
    <xf numFmtId="166" fontId="32" fillId="0" borderId="27" xfId="318" applyNumberFormat="1" applyFont="1" applyBorder="1" applyAlignment="1" applyProtection="1">
      <alignment horizontal="center" vertical="center"/>
      <protection hidden="1"/>
    </xf>
    <xf numFmtId="166" fontId="32" fillId="0" borderId="43" xfId="318" applyNumberFormat="1" applyFont="1" applyBorder="1" applyAlignment="1" applyProtection="1">
      <alignment horizontal="center" vertical="center"/>
      <protection hidden="1"/>
    </xf>
    <xf numFmtId="3" fontId="32" fillId="0" borderId="29" xfId="318" applyNumberFormat="1" applyFont="1" applyBorder="1" applyAlignment="1" applyProtection="1">
      <alignment horizontal="center" vertical="center" wrapText="1"/>
      <protection hidden="1"/>
    </xf>
    <xf numFmtId="3" fontId="32" fillId="0" borderId="44" xfId="318" applyNumberFormat="1" applyFont="1" applyBorder="1" applyAlignment="1" applyProtection="1">
      <alignment horizontal="center" vertical="center" wrapText="1"/>
      <protection hidden="1"/>
    </xf>
    <xf numFmtId="3" fontId="32" fillId="0" borderId="27" xfId="318" applyNumberFormat="1" applyFont="1" applyBorder="1" applyAlignment="1" applyProtection="1">
      <alignment horizontal="center" vertical="center" wrapText="1"/>
      <protection hidden="1"/>
    </xf>
    <xf numFmtId="3" fontId="32" fillId="0" borderId="43" xfId="318" applyNumberFormat="1" applyFont="1" applyBorder="1" applyAlignment="1" applyProtection="1">
      <alignment horizontal="center" vertical="center" wrapText="1"/>
      <protection hidden="1"/>
    </xf>
    <xf numFmtId="0" fontId="32" fillId="0" borderId="17" xfId="318" applyFont="1" applyBorder="1" applyAlignment="1" applyProtection="1">
      <alignment horizontal="center" vertical="center" wrapText="1"/>
      <protection hidden="1"/>
    </xf>
    <xf numFmtId="0" fontId="32" fillId="0" borderId="18" xfId="318" applyFont="1" applyBorder="1" applyAlignment="1" applyProtection="1">
      <alignment horizontal="center" vertical="center" wrapText="1"/>
      <protection hidden="1"/>
    </xf>
    <xf numFmtId="0" fontId="31" fillId="0" borderId="0" xfId="318" applyFont="1" applyAlignment="1" applyProtection="1">
      <alignment horizontal="left" vertical="center" wrapText="1"/>
      <protection hidden="1"/>
    </xf>
    <xf numFmtId="3" fontId="165" fillId="67" borderId="21" xfId="318" applyNumberFormat="1" applyFont="1" applyFill="1" applyBorder="1" applyAlignment="1" applyProtection="1">
      <alignment horizontal="center" vertical="center" wrapText="1"/>
      <protection hidden="1"/>
    </xf>
    <xf numFmtId="3" fontId="165" fillId="67" borderId="19" xfId="318" applyNumberFormat="1" applyFont="1" applyFill="1" applyBorder="1" applyAlignment="1" applyProtection="1">
      <alignment horizontal="center" vertical="center" wrapText="1"/>
      <protection hidden="1"/>
    </xf>
    <xf numFmtId="0" fontId="113" fillId="57" borderId="29" xfId="318" applyFont="1" applyFill="1" applyBorder="1" applyAlignment="1" applyProtection="1">
      <alignment horizontal="center" vertical="center" wrapText="1"/>
      <protection hidden="1"/>
    </xf>
    <xf numFmtId="0" fontId="113" fillId="57" borderId="44" xfId="318" applyFont="1" applyFill="1" applyBorder="1" applyAlignment="1" applyProtection="1">
      <alignment horizontal="center" vertical="center" wrapText="1"/>
      <protection hidden="1"/>
    </xf>
    <xf numFmtId="0" fontId="113" fillId="57" borderId="27" xfId="318" applyFont="1" applyFill="1" applyBorder="1" applyAlignment="1" applyProtection="1">
      <alignment horizontal="center" vertical="center" wrapText="1"/>
      <protection hidden="1"/>
    </xf>
    <xf numFmtId="0" fontId="113" fillId="57" borderId="43" xfId="318" applyFont="1" applyFill="1" applyBorder="1" applyAlignment="1" applyProtection="1">
      <alignment horizontal="center" vertical="center" wrapText="1"/>
      <protection hidden="1"/>
    </xf>
    <xf numFmtId="0" fontId="113" fillId="57" borderId="17" xfId="318" applyFont="1" applyFill="1" applyBorder="1" applyAlignment="1" applyProtection="1">
      <alignment horizontal="center" vertical="center" wrapText="1"/>
      <protection hidden="1"/>
    </xf>
    <xf numFmtId="0" fontId="113" fillId="57" borderId="18" xfId="318" applyFont="1" applyFill="1" applyBorder="1" applyAlignment="1" applyProtection="1">
      <alignment horizontal="center" vertical="center" wrapText="1"/>
      <protection hidden="1"/>
    </xf>
    <xf numFmtId="2" fontId="113" fillId="57" borderId="17" xfId="318" applyNumberFormat="1" applyFont="1" applyFill="1" applyBorder="1" applyAlignment="1" applyProtection="1">
      <alignment horizontal="center" vertical="center" wrapText="1"/>
      <protection hidden="1"/>
    </xf>
    <xf numFmtId="2" fontId="113" fillId="57" borderId="18" xfId="318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>
      <alignment horizontal="center" vertical="center" wrapText="1"/>
    </xf>
    <xf numFmtId="0" fontId="37" fillId="0" borderId="0" xfId="340" applyFont="1" applyAlignment="1" applyProtection="1">
      <alignment horizontal="center" wrapText="1"/>
      <protection hidden="1"/>
    </xf>
    <xf numFmtId="0" fontId="37" fillId="0" borderId="25" xfId="340" applyFont="1" applyBorder="1" applyAlignment="1" applyProtection="1">
      <alignment horizontal="center" wrapText="1"/>
      <protection hidden="1"/>
    </xf>
    <xf numFmtId="0" fontId="31" fillId="0" borderId="29" xfId="314" applyFont="1" applyBorder="1" applyAlignment="1" applyProtection="1">
      <alignment horizontal="center" vertical="center" wrapText="1"/>
      <protection hidden="1"/>
    </xf>
    <xf numFmtId="0" fontId="31" fillId="0" borderId="44" xfId="314" applyFont="1" applyBorder="1" applyAlignment="1" applyProtection="1">
      <alignment horizontal="center" vertical="center" wrapText="1"/>
      <protection hidden="1"/>
    </xf>
    <xf numFmtId="0" fontId="31" fillId="0" borderId="32" xfId="314" applyFont="1" applyBorder="1" applyAlignment="1" applyProtection="1">
      <alignment horizontal="center" vertical="center" wrapText="1"/>
      <protection hidden="1"/>
    </xf>
    <xf numFmtId="0" fontId="31" fillId="0" borderId="28" xfId="314" applyFont="1" applyBorder="1" applyAlignment="1" applyProtection="1">
      <alignment horizontal="center" vertical="center" wrapText="1"/>
      <protection hidden="1"/>
    </xf>
    <xf numFmtId="0" fontId="31" fillId="0" borderId="27" xfId="314" applyFont="1" applyBorder="1" applyAlignment="1" applyProtection="1">
      <alignment horizontal="center" vertical="center" wrapText="1"/>
      <protection hidden="1"/>
    </xf>
    <xf numFmtId="0" fontId="31" fillId="0" borderId="43" xfId="314" applyFont="1" applyBorder="1" applyAlignment="1" applyProtection="1">
      <alignment horizontal="center" vertical="center" wrapText="1"/>
      <protection hidden="1"/>
    </xf>
    <xf numFmtId="0" fontId="31" fillId="55" borderId="13" xfId="318" applyFont="1" applyFill="1" applyBorder="1" applyAlignment="1" applyProtection="1">
      <alignment horizontal="center" vertical="center" wrapText="1"/>
      <protection hidden="1"/>
    </xf>
    <xf numFmtId="0" fontId="32" fillId="0" borderId="21" xfId="318" applyFont="1" applyBorder="1" applyAlignment="1" applyProtection="1">
      <alignment horizontal="left" vertical="center" wrapText="1"/>
      <protection hidden="1"/>
    </xf>
    <xf numFmtId="0" fontId="32" fillId="0" borderId="13" xfId="318" applyFont="1" applyBorder="1" applyAlignment="1" applyProtection="1">
      <alignment horizontal="left" vertical="center" wrapText="1"/>
      <protection hidden="1"/>
    </xf>
    <xf numFmtId="0" fontId="32" fillId="0" borderId="19" xfId="318" applyFont="1" applyBorder="1" applyAlignment="1" applyProtection="1">
      <alignment horizontal="left" vertical="center" wrapText="1"/>
      <protection hidden="1"/>
    </xf>
    <xf numFmtId="0" fontId="32" fillId="0" borderId="32" xfId="318" applyFont="1" applyBorder="1" applyAlignment="1" applyProtection="1">
      <alignment horizontal="left" vertical="center" wrapText="1"/>
      <protection hidden="1"/>
    </xf>
    <xf numFmtId="0" fontId="32" fillId="0" borderId="0" xfId="318" applyFont="1" applyAlignment="1" applyProtection="1">
      <alignment horizontal="left" vertical="center" wrapText="1"/>
      <protection hidden="1"/>
    </xf>
    <xf numFmtId="0" fontId="32" fillId="0" borderId="28" xfId="318" applyFont="1" applyBorder="1" applyAlignment="1" applyProtection="1">
      <alignment horizontal="left" vertical="center" wrapText="1"/>
      <protection hidden="1"/>
    </xf>
    <xf numFmtId="0" fontId="32" fillId="0" borderId="27" xfId="318" applyFont="1" applyBorder="1" applyAlignment="1" applyProtection="1">
      <alignment horizontal="left" vertical="center" wrapText="1"/>
      <protection hidden="1"/>
    </xf>
    <xf numFmtId="0" fontId="32" fillId="0" borderId="25" xfId="318" applyFont="1" applyBorder="1" applyAlignment="1" applyProtection="1">
      <alignment horizontal="left" vertical="center" wrapText="1"/>
      <protection hidden="1"/>
    </xf>
    <xf numFmtId="0" fontId="32" fillId="0" borderId="43" xfId="318" applyFont="1" applyBorder="1" applyAlignment="1" applyProtection="1">
      <alignment horizontal="left" vertical="center" wrapText="1"/>
      <protection hidden="1"/>
    </xf>
    <xf numFmtId="0" fontId="35" fillId="0" borderId="169" xfId="318" applyFont="1" applyBorder="1" applyAlignment="1">
      <alignment horizontal="left" vertical="center" wrapText="1"/>
    </xf>
    <xf numFmtId="0" fontId="35" fillId="0" borderId="170" xfId="318" applyFont="1" applyBorder="1" applyAlignment="1">
      <alignment horizontal="left" vertical="center" wrapText="1"/>
    </xf>
    <xf numFmtId="0" fontId="35" fillId="0" borderId="23" xfId="318" applyFont="1" applyBorder="1" applyAlignment="1">
      <alignment horizontal="left" vertical="center" wrapText="1"/>
    </xf>
    <xf numFmtId="0" fontId="35" fillId="0" borderId="39" xfId="318" applyFont="1" applyBorder="1" applyAlignment="1">
      <alignment horizontal="left" vertical="center" wrapText="1"/>
    </xf>
    <xf numFmtId="0" fontId="35" fillId="0" borderId="24" xfId="318" applyFont="1" applyBorder="1" applyAlignment="1">
      <alignment horizontal="left" vertical="center" wrapText="1"/>
    </xf>
    <xf numFmtId="0" fontId="35" fillId="0" borderId="40" xfId="318" applyFont="1" applyBorder="1" applyAlignment="1">
      <alignment horizontal="left" vertical="center" wrapText="1"/>
    </xf>
    <xf numFmtId="0" fontId="32" fillId="0" borderId="15" xfId="318" applyFont="1" applyBorder="1" applyAlignment="1" applyProtection="1">
      <alignment horizontal="center" vertical="center" wrapText="1"/>
      <protection hidden="1"/>
    </xf>
    <xf numFmtId="0" fontId="32" fillId="0" borderId="56" xfId="318" applyFont="1" applyBorder="1" applyAlignment="1" applyProtection="1">
      <alignment horizontal="center" vertical="center" wrapText="1"/>
      <protection hidden="1"/>
    </xf>
    <xf numFmtId="0" fontId="32" fillId="0" borderId="29" xfId="318" applyFont="1" applyBorder="1" applyAlignment="1" applyProtection="1">
      <alignment horizontal="left" vertical="center" wrapText="1"/>
      <protection hidden="1"/>
    </xf>
    <xf numFmtId="0" fontId="32" fillId="0" borderId="35" xfId="318" applyFont="1" applyBorder="1" applyAlignment="1" applyProtection="1">
      <alignment horizontal="left" vertical="center" wrapText="1"/>
      <protection hidden="1"/>
    </xf>
    <xf numFmtId="3" fontId="35" fillId="0" borderId="24" xfId="318" applyNumberFormat="1" applyFont="1" applyBorder="1" applyAlignment="1">
      <alignment horizontal="center" vertical="center"/>
    </xf>
    <xf numFmtId="3" fontId="35" fillId="0" borderId="45" xfId="318" applyNumberFormat="1" applyFont="1" applyBorder="1" applyAlignment="1">
      <alignment horizontal="center" vertical="center"/>
    </xf>
    <xf numFmtId="3" fontId="35" fillId="0" borderId="32" xfId="318" applyNumberFormat="1" applyFont="1" applyBorder="1" applyAlignment="1" applyProtection="1">
      <alignment horizontal="center" vertical="center"/>
      <protection hidden="1"/>
    </xf>
    <xf numFmtId="3" fontId="35" fillId="0" borderId="28" xfId="318" applyNumberFormat="1" applyFont="1" applyBorder="1" applyAlignment="1" applyProtection="1">
      <alignment horizontal="center" vertical="center"/>
      <protection hidden="1"/>
    </xf>
    <xf numFmtId="3" fontId="35" fillId="0" borderId="27" xfId="318" applyNumberFormat="1" applyFont="1" applyBorder="1" applyAlignment="1" applyProtection="1">
      <alignment horizontal="center" vertical="center"/>
      <protection hidden="1"/>
    </xf>
    <xf numFmtId="3" fontId="35" fillId="0" borderId="43" xfId="318" applyNumberFormat="1" applyFont="1" applyBorder="1" applyAlignment="1" applyProtection="1">
      <alignment horizontal="center" vertical="center"/>
      <protection hidden="1"/>
    </xf>
    <xf numFmtId="3" fontId="35" fillId="0" borderId="166" xfId="318" applyNumberFormat="1" applyFont="1" applyBorder="1" applyAlignment="1" applyProtection="1">
      <alignment horizontal="center" vertical="center"/>
      <protection hidden="1"/>
    </xf>
    <xf numFmtId="3" fontId="35" fillId="0" borderId="167" xfId="318" applyNumberFormat="1" applyFont="1" applyBorder="1" applyAlignment="1" applyProtection="1">
      <alignment horizontal="center" vertical="center"/>
      <protection hidden="1"/>
    </xf>
    <xf numFmtId="0" fontId="34" fillId="0" borderId="168" xfId="318" applyFont="1" applyBorder="1" applyAlignment="1">
      <alignment horizontal="center" vertical="center" wrapText="1"/>
    </xf>
    <xf numFmtId="0" fontId="34" fillId="0" borderId="15" xfId="318" applyFont="1" applyBorder="1" applyAlignment="1">
      <alignment horizontal="center" vertical="center" wrapText="1"/>
    </xf>
    <xf numFmtId="0" fontId="34" fillId="0" borderId="18" xfId="318" applyFont="1" applyBorder="1" applyAlignment="1">
      <alignment horizontal="center" vertical="center" wrapText="1"/>
    </xf>
    <xf numFmtId="0" fontId="35" fillId="0" borderId="22" xfId="318" applyFont="1" applyBorder="1" applyAlignment="1">
      <alignment horizontal="left" vertical="center" wrapText="1"/>
    </xf>
    <xf numFmtId="0" fontId="35" fillId="0" borderId="38" xfId="318" applyFont="1" applyBorder="1" applyAlignment="1">
      <alignment horizontal="left" vertical="center" wrapText="1"/>
    </xf>
    <xf numFmtId="0" fontId="35" fillId="0" borderId="17" xfId="318" applyFont="1" applyBorder="1" applyAlignment="1">
      <alignment horizontal="center" vertical="center" wrapText="1"/>
    </xf>
    <xf numFmtId="0" fontId="35" fillId="0" borderId="15" xfId="318" applyFont="1" applyBorder="1" applyAlignment="1">
      <alignment horizontal="center" vertical="center" wrapText="1"/>
    </xf>
    <xf numFmtId="0" fontId="35" fillId="0" borderId="18" xfId="318" applyFont="1" applyBorder="1" applyAlignment="1">
      <alignment horizontal="center" vertical="center" wrapText="1"/>
    </xf>
    <xf numFmtId="0" fontId="35" fillId="0" borderId="136" xfId="318" applyFont="1" applyBorder="1" applyAlignment="1">
      <alignment horizontal="left" vertical="center" wrapText="1"/>
    </xf>
    <xf numFmtId="0" fontId="35" fillId="0" borderId="137" xfId="318" applyFont="1" applyBorder="1" applyAlignment="1">
      <alignment horizontal="left" vertical="center" wrapText="1"/>
    </xf>
    <xf numFmtId="3" fontId="32" fillId="0" borderId="23" xfId="318" applyNumberFormat="1" applyFont="1" applyBorder="1" applyAlignment="1" applyProtection="1">
      <alignment horizontal="center" vertical="center"/>
      <protection hidden="1"/>
    </xf>
    <xf numFmtId="3" fontId="32" fillId="0" borderId="46" xfId="318" applyNumberFormat="1" applyFont="1" applyBorder="1" applyAlignment="1" applyProtection="1">
      <alignment horizontal="center" vertical="center"/>
      <protection hidden="1"/>
    </xf>
    <xf numFmtId="3" fontId="32" fillId="0" borderId="164" xfId="318" applyNumberFormat="1" applyFont="1" applyBorder="1" applyAlignment="1" applyProtection="1">
      <alignment horizontal="center" vertical="center"/>
      <protection hidden="1"/>
    </xf>
    <xf numFmtId="3" fontId="32" fillId="0" borderId="165" xfId="318" applyNumberFormat="1" applyFont="1" applyBorder="1" applyAlignment="1" applyProtection="1">
      <alignment horizontal="center" vertical="center"/>
      <protection hidden="1"/>
    </xf>
    <xf numFmtId="166" fontId="32" fillId="0" borderId="15" xfId="318" applyNumberFormat="1" applyFont="1" applyBorder="1" applyAlignment="1" applyProtection="1">
      <alignment horizontal="center" vertical="center"/>
      <protection hidden="1"/>
    </xf>
    <xf numFmtId="166" fontId="32" fillId="0" borderId="18" xfId="318" applyNumberFormat="1" applyFont="1" applyBorder="1" applyAlignment="1" applyProtection="1">
      <alignment horizontal="center" vertical="center"/>
      <protection hidden="1"/>
    </xf>
    <xf numFmtId="3" fontId="35" fillId="0" borderId="115" xfId="318" applyNumberFormat="1" applyFont="1" applyBorder="1" applyAlignment="1" applyProtection="1">
      <alignment horizontal="center" vertical="center"/>
      <protection hidden="1"/>
    </xf>
    <xf numFmtId="3" fontId="35" fillId="0" borderId="117" xfId="318" applyNumberFormat="1" applyFont="1" applyBorder="1" applyAlignment="1" applyProtection="1">
      <alignment horizontal="center" vertical="center"/>
      <protection hidden="1"/>
    </xf>
    <xf numFmtId="3" fontId="32" fillId="0" borderId="22" xfId="318" quotePrefix="1" applyNumberFormat="1" applyFont="1" applyBorder="1" applyAlignment="1" applyProtection="1">
      <alignment horizontal="center" vertical="center"/>
      <protection hidden="1"/>
    </xf>
    <xf numFmtId="3" fontId="32" fillId="0" borderId="52" xfId="318" applyNumberFormat="1" applyFont="1" applyBorder="1" applyAlignment="1" applyProtection="1">
      <alignment horizontal="center" vertical="center"/>
      <protection hidden="1"/>
    </xf>
    <xf numFmtId="0" fontId="31" fillId="0" borderId="10" xfId="0" applyFont="1" applyBorder="1" applyAlignment="1">
      <alignment horizontal="center" vertical="center" wrapText="1"/>
    </xf>
    <xf numFmtId="0" fontId="32" fillId="0" borderId="15" xfId="318" applyFont="1" applyBorder="1" applyAlignment="1" applyProtection="1">
      <alignment horizontal="center" vertical="center"/>
      <protection hidden="1"/>
    </xf>
    <xf numFmtId="0" fontId="32" fillId="0" borderId="18" xfId="318" applyFont="1" applyBorder="1" applyAlignment="1" applyProtection="1">
      <alignment horizontal="center" vertical="center"/>
      <protection hidden="1"/>
    </xf>
    <xf numFmtId="0" fontId="32" fillId="0" borderId="37" xfId="318" applyFont="1" applyBorder="1" applyAlignment="1" applyProtection="1">
      <alignment horizontal="center" vertical="center" wrapText="1"/>
      <protection hidden="1"/>
    </xf>
    <xf numFmtId="0" fontId="31" fillId="0" borderId="28" xfId="318" applyFont="1" applyBorder="1" applyAlignment="1" applyProtection="1">
      <alignment horizontal="center" vertical="center" wrapText="1"/>
      <protection hidden="1"/>
    </xf>
    <xf numFmtId="0" fontId="35" fillId="0" borderId="36" xfId="318" applyFont="1" applyBorder="1" applyAlignment="1">
      <alignment horizontal="center" vertical="center"/>
    </xf>
    <xf numFmtId="0" fontId="35" fillId="0" borderId="70" xfId="318" applyFont="1" applyBorder="1" applyAlignment="1">
      <alignment horizontal="center" vertical="center"/>
    </xf>
    <xf numFmtId="3" fontId="35" fillId="0" borderId="23" xfId="318" applyNumberFormat="1" applyFont="1" applyBorder="1" applyAlignment="1">
      <alignment horizontal="center" vertical="center"/>
    </xf>
    <xf numFmtId="3" fontId="35" fillId="0" borderId="46" xfId="318" applyNumberFormat="1" applyFont="1" applyBorder="1" applyAlignment="1">
      <alignment horizontal="center" vertical="center"/>
    </xf>
    <xf numFmtId="166" fontId="32" fillId="0" borderId="17" xfId="318" applyNumberFormat="1" applyFont="1" applyBorder="1" applyAlignment="1" applyProtection="1">
      <alignment horizontal="center" vertical="center"/>
      <protection hidden="1"/>
    </xf>
    <xf numFmtId="166" fontId="32" fillId="0" borderId="56" xfId="318" applyNumberFormat="1" applyFont="1" applyBorder="1" applyAlignment="1" applyProtection="1">
      <alignment horizontal="center" vertical="center"/>
      <protection hidden="1"/>
    </xf>
    <xf numFmtId="0" fontId="35" fillId="0" borderId="48" xfId="318" applyFont="1" applyBorder="1" applyAlignment="1">
      <alignment horizontal="left" vertical="center" wrapText="1"/>
    </xf>
    <xf numFmtId="0" fontId="35" fillId="0" borderId="135" xfId="318" applyFont="1" applyBorder="1" applyAlignment="1">
      <alignment horizontal="left" vertical="center" wrapText="1"/>
    </xf>
    <xf numFmtId="0" fontId="83" fillId="55" borderId="21" xfId="314" applyFont="1" applyFill="1" applyBorder="1" applyAlignment="1">
      <alignment horizontal="center" vertical="center" wrapText="1"/>
    </xf>
    <xf numFmtId="0" fontId="83" fillId="55" borderId="19" xfId="314" applyFont="1" applyFill="1" applyBorder="1" applyAlignment="1">
      <alignment horizontal="center" vertical="center" wrapText="1"/>
    </xf>
    <xf numFmtId="3" fontId="32" fillId="0" borderId="10" xfId="314" applyNumberFormat="1" applyFont="1" applyBorder="1" applyAlignment="1">
      <alignment horizontal="center" vertical="center" wrapText="1"/>
    </xf>
    <xf numFmtId="0" fontId="32" fillId="0" borderId="29" xfId="318" applyFont="1" applyBorder="1" applyAlignment="1" applyProtection="1">
      <alignment horizontal="center" vertical="center" wrapText="1"/>
      <protection hidden="1"/>
    </xf>
    <xf numFmtId="0" fontId="32" fillId="0" borderId="44" xfId="318" applyFont="1" applyBorder="1" applyAlignment="1" applyProtection="1">
      <alignment horizontal="center" vertical="center" wrapText="1"/>
      <protection hidden="1"/>
    </xf>
    <xf numFmtId="3" fontId="137" fillId="0" borderId="36" xfId="318" applyNumberFormat="1" applyFont="1" applyBorder="1" applyAlignment="1" applyProtection="1">
      <alignment horizontal="center" vertical="center"/>
      <protection hidden="1"/>
    </xf>
    <xf numFmtId="3" fontId="137" fillId="0" borderId="70" xfId="318" applyNumberFormat="1" applyFont="1" applyBorder="1" applyAlignment="1" applyProtection="1">
      <alignment horizontal="center" vertical="center"/>
      <protection hidden="1"/>
    </xf>
    <xf numFmtId="3" fontId="137" fillId="0" borderId="23" xfId="318" applyNumberFormat="1" applyFont="1" applyBorder="1" applyAlignment="1" applyProtection="1">
      <alignment horizontal="center" vertical="center"/>
      <protection hidden="1"/>
    </xf>
    <xf numFmtId="3" fontId="137" fillId="0" borderId="46" xfId="318" applyNumberFormat="1" applyFont="1" applyBorder="1" applyAlignment="1" applyProtection="1">
      <alignment horizontal="center" vertical="center"/>
      <protection hidden="1"/>
    </xf>
    <xf numFmtId="3" fontId="137" fillId="0" borderId="24" xfId="318" applyNumberFormat="1" applyFont="1" applyBorder="1" applyAlignment="1" applyProtection="1">
      <alignment horizontal="center" vertical="center"/>
      <protection hidden="1"/>
    </xf>
    <xf numFmtId="3" fontId="137" fillId="0" borderId="45" xfId="318" applyNumberFormat="1" applyFont="1" applyBorder="1" applyAlignment="1" applyProtection="1">
      <alignment horizontal="center" vertical="center"/>
      <protection hidden="1"/>
    </xf>
    <xf numFmtId="169" fontId="34" fillId="0" borderId="36" xfId="318" applyNumberFormat="1" applyFont="1" applyBorder="1" applyAlignment="1" applyProtection="1">
      <alignment horizontal="center" vertical="center" wrapText="1"/>
      <protection hidden="1"/>
    </xf>
    <xf numFmtId="169" fontId="34" fillId="0" borderId="70" xfId="318" applyNumberFormat="1" applyFont="1" applyBorder="1" applyAlignment="1" applyProtection="1">
      <alignment horizontal="center" vertical="center" wrapText="1"/>
      <protection hidden="1"/>
    </xf>
    <xf numFmtId="169" fontId="34" fillId="0" borderId="23" xfId="318" applyNumberFormat="1" applyFont="1" applyBorder="1" applyAlignment="1" applyProtection="1">
      <alignment horizontal="center" vertical="center" wrapText="1"/>
      <protection hidden="1"/>
    </xf>
    <xf numFmtId="169" fontId="34" fillId="0" borderId="46" xfId="318" applyNumberFormat="1" applyFont="1" applyBorder="1" applyAlignment="1" applyProtection="1">
      <alignment horizontal="center" vertical="center" wrapText="1"/>
      <protection hidden="1"/>
    </xf>
    <xf numFmtId="169" fontId="34" fillId="0" borderId="24" xfId="318" applyNumberFormat="1" applyFont="1" applyBorder="1" applyAlignment="1" applyProtection="1">
      <alignment horizontal="center" vertical="center" wrapText="1"/>
      <protection hidden="1"/>
    </xf>
    <xf numFmtId="169" fontId="34" fillId="0" borderId="45" xfId="318" applyNumberFormat="1" applyFont="1" applyBorder="1" applyAlignment="1" applyProtection="1">
      <alignment horizontal="center" vertical="center" wrapText="1"/>
      <protection hidden="1"/>
    </xf>
    <xf numFmtId="3" fontId="137" fillId="0" borderId="21" xfId="318" applyNumberFormat="1" applyFont="1" applyBorder="1" applyAlignment="1" applyProtection="1">
      <alignment horizontal="center" vertical="center"/>
      <protection hidden="1"/>
    </xf>
    <xf numFmtId="3" fontId="137" fillId="0" borderId="19" xfId="318" applyNumberFormat="1" applyFont="1" applyBorder="1" applyAlignment="1" applyProtection="1">
      <alignment horizontal="center" vertical="center"/>
      <protection hidden="1"/>
    </xf>
    <xf numFmtId="3" fontId="31" fillId="0" borderId="21" xfId="318" applyNumberFormat="1" applyFont="1" applyBorder="1" applyAlignment="1" applyProtection="1">
      <alignment horizontal="center" vertical="center" wrapText="1"/>
      <protection hidden="1"/>
    </xf>
    <xf numFmtId="3" fontId="31" fillId="0" borderId="19" xfId="318" applyNumberFormat="1" applyFont="1" applyBorder="1" applyAlignment="1" applyProtection="1">
      <alignment horizontal="center" vertical="center" wrapText="1"/>
      <protection hidden="1"/>
    </xf>
    <xf numFmtId="0" fontId="31" fillId="65" borderId="10" xfId="314" applyFont="1" applyFill="1" applyBorder="1" applyAlignment="1" applyProtection="1">
      <alignment horizontal="center" vertical="center" wrapText="1"/>
      <protection hidden="1"/>
    </xf>
    <xf numFmtId="0" fontId="31" fillId="65" borderId="21" xfId="314" applyFont="1" applyFill="1" applyBorder="1" applyAlignment="1" applyProtection="1">
      <alignment horizontal="center" vertical="center" wrapText="1"/>
      <protection hidden="1"/>
    </xf>
    <xf numFmtId="0" fontId="31" fillId="55" borderId="21" xfId="314" applyFont="1" applyFill="1" applyBorder="1" applyAlignment="1">
      <alignment horizontal="center" vertical="center" wrapText="1"/>
    </xf>
    <xf numFmtId="0" fontId="31" fillId="55" borderId="19" xfId="314" applyFont="1" applyFill="1" applyBorder="1" applyAlignment="1">
      <alignment horizontal="center" vertical="center" wrapText="1"/>
    </xf>
    <xf numFmtId="3" fontId="35" fillId="0" borderId="29" xfId="318" applyNumberFormat="1" applyFont="1" applyBorder="1" applyAlignment="1" applyProtection="1">
      <alignment horizontal="center" vertical="center"/>
      <protection hidden="1"/>
    </xf>
    <xf numFmtId="3" fontId="35" fillId="0" borderId="44" xfId="318" applyNumberFormat="1" applyFont="1" applyBorder="1" applyAlignment="1" applyProtection="1">
      <alignment horizontal="center" vertical="center"/>
      <protection hidden="1"/>
    </xf>
    <xf numFmtId="3" fontId="32" fillId="0" borderId="24" xfId="318" applyNumberFormat="1" applyFont="1" applyBorder="1" applyAlignment="1" applyProtection="1">
      <alignment horizontal="center" vertical="center"/>
      <protection hidden="1"/>
    </xf>
    <xf numFmtId="3" fontId="32" fillId="0" borderId="45" xfId="318" applyNumberFormat="1" applyFont="1" applyBorder="1" applyAlignment="1" applyProtection="1">
      <alignment horizontal="center" vertical="center"/>
      <protection hidden="1"/>
    </xf>
    <xf numFmtId="3" fontId="32" fillId="0" borderId="22" xfId="318" applyNumberFormat="1" applyFont="1" applyBorder="1" applyAlignment="1" applyProtection="1">
      <alignment horizontal="center" vertical="center"/>
      <protection hidden="1"/>
    </xf>
    <xf numFmtId="0" fontId="35" fillId="0" borderId="47" xfId="318" applyFont="1" applyBorder="1" applyAlignment="1">
      <alignment horizontal="left" vertical="center" wrapText="1"/>
    </xf>
    <xf numFmtId="0" fontId="35" fillId="0" borderId="138" xfId="318" applyFont="1" applyBorder="1" applyAlignment="1">
      <alignment horizontal="left" vertical="center" wrapText="1"/>
    </xf>
    <xf numFmtId="0" fontId="35" fillId="0" borderId="41" xfId="318" applyFont="1" applyBorder="1" applyAlignment="1">
      <alignment horizontal="left" vertical="center" wrapText="1"/>
    </xf>
    <xf numFmtId="0" fontId="35" fillId="0" borderId="171" xfId="318" applyFont="1" applyBorder="1" applyAlignment="1">
      <alignment horizontal="left" vertical="center" wrapText="1"/>
    </xf>
    <xf numFmtId="0" fontId="35" fillId="0" borderId="172" xfId="318" applyFont="1" applyBorder="1" applyAlignment="1">
      <alignment horizontal="left" vertical="center" wrapText="1"/>
    </xf>
    <xf numFmtId="0" fontId="35" fillId="0" borderId="173" xfId="318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5" fillId="65" borderId="179" xfId="318" applyFont="1" applyFill="1" applyBorder="1" applyAlignment="1">
      <alignment horizontal="left" vertical="center" wrapText="1"/>
    </xf>
    <xf numFmtId="0" fontId="35" fillId="65" borderId="187" xfId="318" applyFont="1" applyFill="1" applyBorder="1" applyAlignment="1">
      <alignment horizontal="left" vertical="center" wrapText="1"/>
    </xf>
    <xf numFmtId="0" fontId="35" fillId="65" borderId="59" xfId="318" applyFont="1" applyFill="1" applyBorder="1" applyAlignment="1">
      <alignment horizontal="left" vertical="center" wrapText="1"/>
    </xf>
    <xf numFmtId="0" fontId="35" fillId="65" borderId="114" xfId="318" applyFont="1" applyFill="1" applyBorder="1" applyAlignment="1">
      <alignment horizontal="left" vertical="center" wrapText="1"/>
    </xf>
    <xf numFmtId="0" fontId="35" fillId="65" borderId="119" xfId="318" applyFont="1" applyFill="1" applyBorder="1" applyAlignment="1">
      <alignment horizontal="left" vertical="center" wrapText="1"/>
    </xf>
    <xf numFmtId="0" fontId="35" fillId="65" borderId="120" xfId="318" applyFont="1" applyFill="1" applyBorder="1" applyAlignment="1">
      <alignment horizontal="left" vertical="center" wrapText="1"/>
    </xf>
    <xf numFmtId="0" fontId="35" fillId="65" borderId="19" xfId="318" applyFont="1" applyFill="1" applyBorder="1" applyAlignment="1">
      <alignment horizontal="left" vertical="center" wrapText="1"/>
    </xf>
    <xf numFmtId="0" fontId="35" fillId="65" borderId="10" xfId="318" applyFont="1" applyFill="1" applyBorder="1" applyAlignment="1">
      <alignment horizontal="left" vertical="center" wrapText="1"/>
    </xf>
    <xf numFmtId="4" fontId="35" fillId="65" borderId="21" xfId="318" applyNumberFormat="1" applyFont="1" applyFill="1" applyBorder="1" applyAlignment="1">
      <alignment horizontal="center" vertical="center"/>
    </xf>
    <xf numFmtId="4" fontId="35" fillId="65" borderId="19" xfId="318" applyNumberFormat="1" applyFont="1" applyFill="1" applyBorder="1" applyAlignment="1">
      <alignment horizontal="center" vertical="center"/>
    </xf>
    <xf numFmtId="166" fontId="32" fillId="65" borderId="21" xfId="318" applyNumberFormat="1" applyFont="1" applyFill="1" applyBorder="1" applyAlignment="1" applyProtection="1">
      <alignment horizontal="center" vertical="center"/>
      <protection hidden="1"/>
    </xf>
    <xf numFmtId="166" fontId="32" fillId="65" borderId="19" xfId="318" applyNumberFormat="1" applyFont="1" applyFill="1" applyBorder="1" applyAlignment="1" applyProtection="1">
      <alignment horizontal="center" vertical="center"/>
      <protection hidden="1"/>
    </xf>
    <xf numFmtId="3" fontId="35" fillId="65" borderId="21" xfId="318" applyNumberFormat="1" applyFont="1" applyFill="1" applyBorder="1" applyAlignment="1" applyProtection="1">
      <alignment horizontal="center" vertical="center"/>
      <protection hidden="1"/>
    </xf>
    <xf numFmtId="3" fontId="35" fillId="65" borderId="19" xfId="318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>
      <alignment horizontal="left" vertical="top" wrapText="1"/>
    </xf>
    <xf numFmtId="0" fontId="110" fillId="67" borderId="21" xfId="0" applyFont="1" applyFill="1" applyBorder="1" applyAlignment="1">
      <alignment horizontal="center" vertical="center"/>
    </xf>
    <xf numFmtId="0" fontId="110" fillId="67" borderId="13" xfId="0" applyFont="1" applyFill="1" applyBorder="1" applyAlignment="1">
      <alignment horizontal="center" vertical="center"/>
    </xf>
    <xf numFmtId="0" fontId="110" fillId="67" borderId="19" xfId="0" applyFont="1" applyFill="1" applyBorder="1" applyAlignment="1">
      <alignment horizontal="center" vertical="center"/>
    </xf>
    <xf numFmtId="0" fontId="111" fillId="0" borderId="35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/>
    </xf>
    <xf numFmtId="0" fontId="32" fillId="0" borderId="35" xfId="0" applyFont="1" applyBorder="1" applyAlignment="1">
      <alignment horizontal="left" vertical="center" wrapText="1"/>
    </xf>
    <xf numFmtId="0" fontId="32" fillId="0" borderId="44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87" fillId="55" borderId="21" xfId="0" applyFont="1" applyFill="1" applyBorder="1" applyAlignment="1">
      <alignment horizontal="center" vertical="center"/>
    </xf>
    <xf numFmtId="0" fontId="87" fillId="55" borderId="13" xfId="0" applyFont="1" applyFill="1" applyBorder="1" applyAlignment="1">
      <alignment horizontal="center" vertical="center"/>
    </xf>
    <xf numFmtId="0" fontId="87" fillId="55" borderId="19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109" fillId="0" borderId="27" xfId="0" applyFont="1" applyBorder="1" applyAlignment="1">
      <alignment horizontal="center" vertical="center" wrapText="1"/>
    </xf>
    <xf numFmtId="0" fontId="109" fillId="0" borderId="25" xfId="0" applyFont="1" applyBorder="1" applyAlignment="1">
      <alignment horizontal="center" vertical="center" wrapText="1"/>
    </xf>
    <xf numFmtId="0" fontId="109" fillId="0" borderId="43" xfId="0" applyFont="1" applyBorder="1" applyAlignment="1">
      <alignment horizontal="center" vertical="center" wrapText="1"/>
    </xf>
    <xf numFmtId="0" fontId="31" fillId="50" borderId="17" xfId="0" applyFont="1" applyFill="1" applyBorder="1" applyAlignment="1">
      <alignment horizontal="center" vertical="center" wrapText="1"/>
    </xf>
    <xf numFmtId="0" fontId="31" fillId="50" borderId="18" xfId="0" applyFont="1" applyFill="1" applyBorder="1" applyAlignment="1">
      <alignment horizontal="center" vertical="center" wrapText="1"/>
    </xf>
    <xf numFmtId="0" fontId="31" fillId="50" borderId="21" xfId="0" applyFont="1" applyFill="1" applyBorder="1" applyAlignment="1">
      <alignment horizontal="center" vertical="center"/>
    </xf>
    <xf numFmtId="0" fontId="31" fillId="50" borderId="13" xfId="0" applyFont="1" applyFill="1" applyBorder="1" applyAlignment="1">
      <alignment horizontal="center" vertical="center"/>
    </xf>
    <xf numFmtId="0" fontId="31" fillId="50" borderId="19" xfId="0" applyFont="1" applyFill="1" applyBorder="1" applyAlignment="1">
      <alignment horizontal="center" vertical="center"/>
    </xf>
    <xf numFmtId="0" fontId="32" fillId="0" borderId="0" xfId="0" applyFont="1" applyAlignment="1" applyProtection="1">
      <alignment horizontal="left" vertical="center"/>
      <protection hidden="1"/>
    </xf>
    <xf numFmtId="0" fontId="121" fillId="59" borderId="25" xfId="0" applyFont="1" applyFill="1" applyBorder="1" applyAlignment="1">
      <alignment horizontal="center" vertical="center" wrapText="1"/>
    </xf>
    <xf numFmtId="0" fontId="121" fillId="59" borderId="25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1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1" fillId="50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left" vertical="center" wrapText="1"/>
    </xf>
    <xf numFmtId="0" fontId="141" fillId="0" borderId="10" xfId="0" applyFont="1" applyBorder="1" applyAlignment="1">
      <alignment horizontal="center" vertical="center" wrapText="1"/>
    </xf>
    <xf numFmtId="0" fontId="73" fillId="62" borderId="21" xfId="0" applyFont="1" applyFill="1" applyBorder="1" applyAlignment="1">
      <alignment horizontal="center" vertical="center" wrapText="1"/>
    </xf>
    <xf numFmtId="0" fontId="73" fillId="62" borderId="13" xfId="0" applyFont="1" applyFill="1" applyBorder="1" applyAlignment="1">
      <alignment horizontal="center" vertical="center" wrapText="1"/>
    </xf>
    <xf numFmtId="0" fontId="73" fillId="62" borderId="19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66" fontId="32" fillId="0" borderId="11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 wrapText="1"/>
    </xf>
    <xf numFmtId="1" fontId="32" fillId="0" borderId="18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0" fontId="110" fillId="67" borderId="0" xfId="0" applyFont="1" applyFill="1" applyAlignment="1">
      <alignment horizontal="center" vertical="center"/>
    </xf>
    <xf numFmtId="0" fontId="110" fillId="67" borderId="28" xfId="0" applyFont="1" applyFill="1" applyBorder="1" applyAlignment="1">
      <alignment horizontal="center" vertical="center"/>
    </xf>
    <xf numFmtId="0" fontId="124" fillId="59" borderId="0" xfId="288" applyFont="1" applyFill="1" applyAlignment="1">
      <alignment horizontal="center" vertical="center" wrapText="1"/>
    </xf>
    <xf numFmtId="0" fontId="124" fillId="59" borderId="21" xfId="288" applyFont="1" applyFill="1" applyBorder="1" applyAlignment="1">
      <alignment horizontal="center" vertical="center" wrapText="1"/>
    </xf>
    <xf numFmtId="0" fontId="124" fillId="59" borderId="13" xfId="288" applyFont="1" applyFill="1" applyBorder="1" applyAlignment="1">
      <alignment horizontal="center" vertical="center" wrapText="1"/>
    </xf>
    <xf numFmtId="0" fontId="124" fillId="59" borderId="19" xfId="288" applyFont="1" applyFill="1" applyBorder="1" applyAlignment="1">
      <alignment horizontal="center" vertical="center" wrapText="1"/>
    </xf>
    <xf numFmtId="0" fontId="121" fillId="59" borderId="21" xfId="0" applyFont="1" applyFill="1" applyBorder="1" applyAlignment="1">
      <alignment horizontal="center" vertical="center" wrapText="1"/>
    </xf>
    <xf numFmtId="0" fontId="121" fillId="59" borderId="19" xfId="0" applyFont="1" applyFill="1" applyBorder="1" applyAlignment="1">
      <alignment horizontal="center" vertical="center" wrapText="1"/>
    </xf>
    <xf numFmtId="9" fontId="46" fillId="0" borderId="21" xfId="357" applyFont="1" applyBorder="1" applyAlignment="1">
      <alignment horizontal="center" vertical="center"/>
    </xf>
    <xf numFmtId="9" fontId="46" fillId="0" borderId="19" xfId="357" applyFont="1" applyBorder="1" applyAlignment="1">
      <alignment horizontal="center" vertical="center"/>
    </xf>
    <xf numFmtId="9" fontId="46" fillId="0" borderId="13" xfId="357" applyFont="1" applyBorder="1" applyAlignment="1">
      <alignment horizontal="center" vertical="center"/>
    </xf>
    <xf numFmtId="166" fontId="32" fillId="0" borderId="14" xfId="0" applyNumberFormat="1" applyFont="1" applyBorder="1" applyAlignment="1">
      <alignment horizontal="center" vertical="center"/>
    </xf>
    <xf numFmtId="1" fontId="32" fillId="0" borderId="23" xfId="0" applyNumberFormat="1" applyFont="1" applyBorder="1" applyAlignment="1">
      <alignment horizontal="center" vertical="center" wrapText="1"/>
    </xf>
    <xf numFmtId="1" fontId="32" fillId="0" borderId="183" xfId="0" applyNumberFormat="1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166" fontId="32" fillId="0" borderId="23" xfId="0" applyNumberFormat="1" applyFont="1" applyBorder="1" applyAlignment="1">
      <alignment horizontal="center" vertical="center"/>
    </xf>
    <xf numFmtId="166" fontId="32" fillId="0" borderId="46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132" fillId="0" borderId="24" xfId="0" applyFont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166" fontId="32" fillId="0" borderId="12" xfId="0" applyNumberFormat="1" applyFont="1" applyBorder="1" applyAlignment="1">
      <alignment horizontal="center" vertical="center"/>
    </xf>
    <xf numFmtId="1" fontId="32" fillId="0" borderId="24" xfId="0" applyNumberFormat="1" applyFont="1" applyBorder="1" applyAlignment="1">
      <alignment horizontal="center" vertical="center" wrapText="1"/>
    </xf>
    <xf numFmtId="1" fontId="32" fillId="0" borderId="184" xfId="0" applyNumberFormat="1" applyFont="1" applyBorder="1" applyAlignment="1">
      <alignment horizontal="center" vertical="center" wrapText="1"/>
    </xf>
    <xf numFmtId="0" fontId="132" fillId="0" borderId="22" xfId="0" applyFont="1" applyBorder="1" applyAlignment="1">
      <alignment horizontal="center" vertical="center" wrapText="1"/>
    </xf>
    <xf numFmtId="0" fontId="132" fillId="0" borderId="52" xfId="0" applyFont="1" applyBorder="1" applyAlignment="1">
      <alignment horizontal="center" vertical="center" wrapText="1"/>
    </xf>
    <xf numFmtId="0" fontId="91" fillId="50" borderId="57" xfId="0" applyFont="1" applyFill="1" applyBorder="1" applyAlignment="1">
      <alignment horizontal="center" vertical="center" wrapText="1"/>
    </xf>
    <xf numFmtId="0" fontId="91" fillId="50" borderId="19" xfId="0" applyFont="1" applyFill="1" applyBorder="1" applyAlignment="1">
      <alignment horizontal="center" vertical="center" wrapText="1"/>
    </xf>
    <xf numFmtId="0" fontId="31" fillId="49" borderId="21" xfId="0" applyFont="1" applyFill="1" applyBorder="1" applyAlignment="1">
      <alignment horizontal="center" vertical="center" wrapText="1"/>
    </xf>
    <xf numFmtId="0" fontId="31" fillId="49" borderId="181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37" fillId="0" borderId="22" xfId="0" applyFont="1" applyBorder="1" applyAlignment="1">
      <alignment horizontal="center" vertical="center" wrapText="1"/>
    </xf>
    <xf numFmtId="0" fontId="137" fillId="0" borderId="52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1" fillId="55" borderId="17" xfId="0" applyFont="1" applyFill="1" applyBorder="1" applyAlignment="1">
      <alignment horizontal="center" vertical="center" wrapText="1"/>
    </xf>
    <xf numFmtId="0" fontId="31" fillId="55" borderId="18" xfId="0" applyFont="1" applyFill="1" applyBorder="1" applyAlignment="1">
      <alignment horizontal="center" vertical="center" wrapText="1"/>
    </xf>
    <xf numFmtId="0" fontId="31" fillId="50" borderId="29" xfId="0" applyFont="1" applyFill="1" applyBorder="1" applyAlignment="1">
      <alignment horizontal="center" vertical="center" wrapText="1"/>
    </xf>
    <xf numFmtId="0" fontId="31" fillId="50" borderId="27" xfId="0" applyFont="1" applyFill="1" applyBorder="1" applyAlignment="1">
      <alignment horizontal="center" vertical="center" wrapText="1"/>
    </xf>
    <xf numFmtId="0" fontId="31" fillId="50" borderId="29" xfId="0" applyFont="1" applyFill="1" applyBorder="1" applyAlignment="1">
      <alignment horizontal="center" vertical="center"/>
    </xf>
    <xf numFmtId="0" fontId="31" fillId="50" borderId="44" xfId="0" applyFont="1" applyFill="1" applyBorder="1" applyAlignment="1">
      <alignment horizontal="center" vertical="center"/>
    </xf>
    <xf numFmtId="0" fontId="31" fillId="50" borderId="27" xfId="0" applyFont="1" applyFill="1" applyBorder="1" applyAlignment="1">
      <alignment horizontal="center" vertical="center"/>
    </xf>
    <xf numFmtId="0" fontId="31" fillId="50" borderId="43" xfId="0" applyFont="1" applyFill="1" applyBorder="1" applyAlignment="1">
      <alignment horizontal="center" vertical="center"/>
    </xf>
    <xf numFmtId="0" fontId="31" fillId="50" borderId="17" xfId="0" applyFont="1" applyFill="1" applyBorder="1" applyAlignment="1">
      <alignment horizontal="center" vertical="center"/>
    </xf>
    <xf numFmtId="0" fontId="31" fillId="50" borderId="18" xfId="0" applyFont="1" applyFill="1" applyBorder="1" applyAlignment="1">
      <alignment horizontal="center" vertical="center"/>
    </xf>
    <xf numFmtId="0" fontId="31" fillId="55" borderId="17" xfId="0" applyFont="1" applyFill="1" applyBorder="1" applyAlignment="1">
      <alignment horizontal="center" vertical="center"/>
    </xf>
    <xf numFmtId="0" fontId="31" fillId="55" borderId="18" xfId="0" applyFont="1" applyFill="1" applyBorder="1" applyAlignment="1">
      <alignment horizontal="center" vertical="center"/>
    </xf>
    <xf numFmtId="0" fontId="87" fillId="55" borderId="17" xfId="0" applyFont="1" applyFill="1" applyBorder="1" applyAlignment="1">
      <alignment horizontal="center" vertical="center"/>
    </xf>
    <xf numFmtId="0" fontId="87" fillId="55" borderId="18" xfId="0" applyFont="1" applyFill="1" applyBorder="1" applyAlignment="1">
      <alignment horizontal="center" vertical="center"/>
    </xf>
    <xf numFmtId="0" fontId="31" fillId="55" borderId="29" xfId="0" applyFont="1" applyFill="1" applyBorder="1" applyAlignment="1">
      <alignment horizontal="center" vertical="center" wrapText="1"/>
    </xf>
    <xf numFmtId="0" fontId="31" fillId="55" borderId="44" xfId="0" applyFont="1" applyFill="1" applyBorder="1" applyAlignment="1">
      <alignment horizontal="center" vertical="center" wrapText="1"/>
    </xf>
    <xf numFmtId="0" fontId="31" fillId="55" borderId="27" xfId="0" applyFont="1" applyFill="1" applyBorder="1" applyAlignment="1">
      <alignment horizontal="center" vertical="center" wrapText="1"/>
    </xf>
    <xf numFmtId="0" fontId="31" fillId="55" borderId="43" xfId="0" applyFont="1" applyFill="1" applyBorder="1" applyAlignment="1">
      <alignment horizontal="center" vertical="center" wrapText="1"/>
    </xf>
    <xf numFmtId="0" fontId="31" fillId="55" borderId="29" xfId="0" applyFont="1" applyFill="1" applyBorder="1" applyAlignment="1">
      <alignment horizontal="center" vertical="center"/>
    </xf>
    <xf numFmtId="0" fontId="31" fillId="55" borderId="180" xfId="0" applyFont="1" applyFill="1" applyBorder="1" applyAlignment="1">
      <alignment horizontal="center" vertical="center"/>
    </xf>
    <xf numFmtId="0" fontId="91" fillId="50" borderId="13" xfId="0" applyFont="1" applyFill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 wrapText="1"/>
    </xf>
    <xf numFmtId="0" fontId="91" fillId="62" borderId="179" xfId="0" applyFont="1" applyFill="1" applyBorder="1" applyAlignment="1">
      <alignment horizontal="left" vertical="center" wrapText="1"/>
    </xf>
    <xf numFmtId="0" fontId="91" fillId="62" borderId="59" xfId="0" applyFont="1" applyFill="1" applyBorder="1" applyAlignment="1">
      <alignment horizontal="left" vertical="center" wrapText="1"/>
    </xf>
    <xf numFmtId="0" fontId="91" fillId="62" borderId="119" xfId="0" applyFont="1" applyFill="1" applyBorder="1" applyAlignment="1">
      <alignment horizontal="left" vertical="center" wrapText="1"/>
    </xf>
    <xf numFmtId="0" fontId="33" fillId="62" borderId="118" xfId="0" applyFont="1" applyFill="1" applyBorder="1" applyAlignment="1">
      <alignment horizontal="left" vertical="center" wrapText="1"/>
    </xf>
    <xf numFmtId="0" fontId="33" fillId="62" borderId="0" xfId="0" applyFont="1" applyFill="1" applyAlignment="1">
      <alignment horizontal="left" vertical="center" wrapText="1"/>
    </xf>
    <xf numFmtId="0" fontId="33" fillId="62" borderId="116" xfId="0" applyFont="1" applyFill="1" applyBorder="1" applyAlignment="1">
      <alignment horizontal="left" vertical="center" wrapText="1"/>
    </xf>
    <xf numFmtId="0" fontId="33" fillId="62" borderId="114" xfId="0" applyFont="1" applyFill="1" applyBorder="1" applyAlignment="1">
      <alignment horizontal="left" vertical="center" wrapText="1"/>
    </xf>
    <xf numFmtId="0" fontId="33" fillId="62" borderId="120" xfId="0" applyFont="1" applyFill="1" applyBorder="1" applyAlignment="1">
      <alignment horizontal="left" vertical="center" wrapText="1"/>
    </xf>
    <xf numFmtId="0" fontId="33" fillId="62" borderId="58" xfId="0" applyFont="1" applyFill="1" applyBorder="1" applyAlignment="1">
      <alignment horizontal="center" vertical="center" wrapText="1"/>
    </xf>
    <xf numFmtId="0" fontId="33" fillId="62" borderId="44" xfId="0" applyFont="1" applyFill="1" applyBorder="1" applyAlignment="1">
      <alignment horizontal="center" vertical="center" wrapText="1"/>
    </xf>
    <xf numFmtId="0" fontId="33" fillId="62" borderId="59" xfId="0" applyFont="1" applyFill="1" applyBorder="1" applyAlignment="1">
      <alignment horizontal="center" vertical="center" wrapText="1"/>
    </xf>
    <xf numFmtId="0" fontId="33" fillId="62" borderId="28" xfId="0" applyFont="1" applyFill="1" applyBorder="1" applyAlignment="1">
      <alignment horizontal="center" vertical="center" wrapText="1"/>
    </xf>
    <xf numFmtId="0" fontId="33" fillId="62" borderId="60" xfId="0" applyFont="1" applyFill="1" applyBorder="1" applyAlignment="1">
      <alignment horizontal="center" vertical="center" wrapText="1"/>
    </xf>
    <xf numFmtId="0" fontId="33" fillId="62" borderId="43" xfId="0" applyFont="1" applyFill="1" applyBorder="1" applyAlignment="1">
      <alignment horizontal="center" vertical="center" wrapText="1"/>
    </xf>
    <xf numFmtId="1" fontId="35" fillId="0" borderId="23" xfId="0" applyNumberFormat="1" applyFont="1" applyBorder="1" applyAlignment="1">
      <alignment horizontal="center" vertical="center"/>
    </xf>
    <xf numFmtId="1" fontId="35" fillId="0" borderId="46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>
      <alignment horizontal="center" vertical="center"/>
    </xf>
    <xf numFmtId="1" fontId="35" fillId="0" borderId="45" xfId="0" applyNumberFormat="1" applyFont="1" applyBorder="1" applyAlignment="1">
      <alignment horizontal="center" vertical="center"/>
    </xf>
    <xf numFmtId="0" fontId="68" fillId="62" borderId="29" xfId="318" applyFont="1" applyFill="1" applyBorder="1" applyAlignment="1" applyProtection="1">
      <alignment horizontal="center" vertical="center" wrapText="1"/>
      <protection hidden="1"/>
    </xf>
    <xf numFmtId="0" fontId="68" fillId="62" borderId="35" xfId="318" applyFont="1" applyFill="1" applyBorder="1" applyAlignment="1" applyProtection="1">
      <alignment horizontal="center" vertical="center" wrapText="1"/>
      <protection hidden="1"/>
    </xf>
    <xf numFmtId="0" fontId="68" fillId="62" borderId="44" xfId="318" applyFont="1" applyFill="1" applyBorder="1" applyAlignment="1" applyProtection="1">
      <alignment horizontal="center" vertical="center" wrapText="1"/>
      <protection hidden="1"/>
    </xf>
    <xf numFmtId="0" fontId="33" fillId="62" borderId="35" xfId="0" applyFont="1" applyFill="1" applyBorder="1" applyAlignment="1">
      <alignment horizontal="center" vertical="center" wrapText="1"/>
    </xf>
    <xf numFmtId="0" fontId="33" fillId="62" borderId="0" xfId="0" applyFont="1" applyFill="1" applyAlignment="1">
      <alignment horizontal="center" vertical="center" wrapText="1"/>
    </xf>
    <xf numFmtId="0" fontId="33" fillId="62" borderId="116" xfId="0" applyFont="1" applyFill="1" applyBorder="1" applyAlignment="1">
      <alignment horizontal="center" vertical="center" wrapText="1"/>
    </xf>
    <xf numFmtId="0" fontId="33" fillId="62" borderId="117" xfId="0" applyFont="1" applyFill="1" applyBorder="1" applyAlignment="1">
      <alignment horizontal="center" vertical="center" wrapText="1"/>
    </xf>
    <xf numFmtId="0" fontId="91" fillId="62" borderId="13" xfId="0" applyFont="1" applyFill="1" applyBorder="1" applyAlignment="1">
      <alignment horizontal="center" vertical="center" wrapText="1"/>
    </xf>
    <xf numFmtId="0" fontId="91" fillId="62" borderId="19" xfId="0" applyFont="1" applyFill="1" applyBorder="1" applyAlignment="1">
      <alignment horizontal="center" vertical="center" wrapText="1"/>
    </xf>
    <xf numFmtId="0" fontId="73" fillId="62" borderId="32" xfId="318" applyFont="1" applyFill="1" applyBorder="1" applyAlignment="1" applyProtection="1">
      <alignment horizontal="left" vertical="center" wrapText="1"/>
      <protection hidden="1"/>
    </xf>
    <xf numFmtId="0" fontId="73" fillId="62" borderId="0" xfId="318" applyFont="1" applyFill="1" applyAlignment="1" applyProtection="1">
      <alignment horizontal="left" vertical="center" wrapText="1"/>
      <protection hidden="1"/>
    </xf>
    <xf numFmtId="0" fontId="73" fillId="62" borderId="28" xfId="318" applyFont="1" applyFill="1" applyBorder="1" applyAlignment="1" applyProtection="1">
      <alignment horizontal="left" vertical="center" wrapText="1"/>
      <protection hidden="1"/>
    </xf>
    <xf numFmtId="0" fontId="73" fillId="62" borderId="115" xfId="318" applyFont="1" applyFill="1" applyBorder="1" applyAlignment="1" applyProtection="1">
      <alignment horizontal="left" vertical="center" wrapText="1"/>
      <protection hidden="1"/>
    </xf>
    <xf numFmtId="0" fontId="73" fillId="62" borderId="116" xfId="318" applyFont="1" applyFill="1" applyBorder="1" applyAlignment="1" applyProtection="1">
      <alignment horizontal="left" vertical="center" wrapText="1"/>
      <protection hidden="1"/>
    </xf>
    <xf numFmtId="0" fontId="73" fillId="62" borderId="117" xfId="318" applyFont="1" applyFill="1" applyBorder="1" applyAlignment="1" applyProtection="1">
      <alignment horizontal="left" vertical="center" wrapText="1"/>
      <protection hidden="1"/>
    </xf>
    <xf numFmtId="0" fontId="160" fillId="0" borderId="54" xfId="0" applyFont="1" applyBorder="1" applyAlignment="1">
      <alignment horizontal="left" vertical="center" wrapText="1"/>
    </xf>
    <xf numFmtId="0" fontId="160" fillId="0" borderId="25" xfId="0" applyFont="1" applyBorder="1" applyAlignment="1">
      <alignment horizontal="left" vertical="center" wrapText="1"/>
    </xf>
    <xf numFmtId="1" fontId="35" fillId="0" borderId="22" xfId="0" applyNumberFormat="1" applyFont="1" applyBorder="1" applyAlignment="1">
      <alignment horizontal="center" vertical="center"/>
    </xf>
    <xf numFmtId="1" fontId="35" fillId="0" borderId="52" xfId="0" applyNumberFormat="1" applyFont="1" applyBorder="1" applyAlignment="1">
      <alignment horizontal="center" vertical="center"/>
    </xf>
    <xf numFmtId="0" fontId="31" fillId="50" borderId="10" xfId="0" applyFont="1" applyFill="1" applyBorder="1" applyAlignment="1">
      <alignment horizontal="center" vertical="center" wrapText="1"/>
    </xf>
    <xf numFmtId="0" fontId="31" fillId="50" borderId="15" xfId="0" applyFont="1" applyFill="1" applyBorder="1" applyAlignment="1">
      <alignment horizontal="center" vertical="center"/>
    </xf>
    <xf numFmtId="0" fontId="31" fillId="55" borderId="15" xfId="0" applyFont="1" applyFill="1" applyBorder="1" applyAlignment="1">
      <alignment horizontal="center" vertical="center" wrapText="1"/>
    </xf>
    <xf numFmtId="0" fontId="31" fillId="50" borderId="44" xfId="0" applyFont="1" applyFill="1" applyBorder="1" applyAlignment="1">
      <alignment horizontal="center" vertical="center" wrapText="1"/>
    </xf>
    <xf numFmtId="0" fontId="31" fillId="50" borderId="32" xfId="0" applyFont="1" applyFill="1" applyBorder="1" applyAlignment="1">
      <alignment horizontal="center" vertical="center" wrapText="1"/>
    </xf>
    <xf numFmtId="0" fontId="31" fillId="50" borderId="28" xfId="0" applyFont="1" applyFill="1" applyBorder="1" applyAlignment="1">
      <alignment horizontal="center" vertical="center" wrapText="1"/>
    </xf>
    <xf numFmtId="0" fontId="31" fillId="50" borderId="43" xfId="0" applyFont="1" applyFill="1" applyBorder="1" applyAlignment="1">
      <alignment horizontal="center" vertical="center" wrapText="1"/>
    </xf>
    <xf numFmtId="0" fontId="91" fillId="50" borderId="58" xfId="0" applyFont="1" applyFill="1" applyBorder="1" applyAlignment="1">
      <alignment horizontal="center" vertical="center" wrapText="1"/>
    </xf>
    <xf numFmtId="0" fontId="91" fillId="50" borderId="44" xfId="0" applyFont="1" applyFill="1" applyBorder="1" applyAlignment="1">
      <alignment horizontal="center" vertical="center" wrapText="1"/>
    </xf>
    <xf numFmtId="0" fontId="91" fillId="50" borderId="59" xfId="0" applyFont="1" applyFill="1" applyBorder="1" applyAlignment="1">
      <alignment horizontal="center" vertical="center" wrapText="1"/>
    </xf>
    <xf numFmtId="0" fontId="91" fillId="50" borderId="28" xfId="0" applyFont="1" applyFill="1" applyBorder="1" applyAlignment="1">
      <alignment horizontal="center" vertical="center" wrapText="1"/>
    </xf>
    <xf numFmtId="0" fontId="162" fillId="50" borderId="10" xfId="0" applyFont="1" applyFill="1" applyBorder="1" applyAlignment="1">
      <alignment horizontal="center" vertical="center"/>
    </xf>
    <xf numFmtId="0" fontId="91" fillId="50" borderId="10" xfId="0" applyFont="1" applyFill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top" wrapText="1"/>
    </xf>
    <xf numFmtId="0" fontId="33" fillId="0" borderId="44" xfId="0" applyFont="1" applyBorder="1" applyAlignment="1">
      <alignment horizontal="center" vertical="top" wrapText="1"/>
    </xf>
    <xf numFmtId="0" fontId="33" fillId="0" borderId="59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60" xfId="0" applyFont="1" applyBorder="1" applyAlignment="1">
      <alignment horizontal="center" vertical="top" wrapText="1"/>
    </xf>
    <xf numFmtId="0" fontId="33" fillId="0" borderId="43" xfId="0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top" wrapText="1"/>
    </xf>
    <xf numFmtId="0" fontId="33" fillId="0" borderId="32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2" fontId="35" fillId="0" borderId="22" xfId="0" applyNumberFormat="1" applyFont="1" applyBorder="1" applyAlignment="1">
      <alignment horizontal="center" vertical="center"/>
    </xf>
    <xf numFmtId="2" fontId="35" fillId="0" borderId="52" xfId="0" applyNumberFormat="1" applyFont="1" applyBorder="1" applyAlignment="1">
      <alignment horizontal="center" vertical="center"/>
    </xf>
    <xf numFmtId="2" fontId="35" fillId="0" borderId="23" xfId="0" applyNumberFormat="1" applyFont="1" applyBorder="1" applyAlignment="1">
      <alignment horizontal="center" vertical="center"/>
    </xf>
    <xf numFmtId="2" fontId="35" fillId="0" borderId="46" xfId="0" applyNumberFormat="1" applyFont="1" applyBorder="1" applyAlignment="1">
      <alignment horizontal="center" vertical="center"/>
    </xf>
    <xf numFmtId="2" fontId="35" fillId="0" borderId="24" xfId="0" applyNumberFormat="1" applyFont="1" applyBorder="1" applyAlignment="1">
      <alignment horizontal="center" vertical="center"/>
    </xf>
    <xf numFmtId="2" fontId="35" fillId="0" borderId="45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/>
    </xf>
    <xf numFmtId="1" fontId="35" fillId="0" borderId="18" xfId="0" applyNumberFormat="1" applyFont="1" applyBorder="1" applyAlignment="1">
      <alignment horizontal="center" vertical="center"/>
    </xf>
    <xf numFmtId="0" fontId="31" fillId="50" borderId="15" xfId="0" applyFont="1" applyFill="1" applyBorder="1" applyAlignment="1">
      <alignment horizontal="center" vertical="center" wrapText="1"/>
    </xf>
    <xf numFmtId="0" fontId="31" fillId="56" borderId="27" xfId="0" applyFont="1" applyFill="1" applyBorder="1" applyAlignment="1">
      <alignment horizontal="center" vertical="center"/>
    </xf>
    <xf numFmtId="0" fontId="31" fillId="49" borderId="43" xfId="0" applyFont="1" applyFill="1" applyBorder="1" applyAlignment="1">
      <alignment horizontal="center" vertical="center"/>
    </xf>
    <xf numFmtId="0" fontId="37" fillId="0" borderId="25" xfId="340" applyFont="1" applyBorder="1" applyAlignment="1" applyProtection="1">
      <alignment horizontal="center"/>
      <protection hidden="1"/>
    </xf>
    <xf numFmtId="0" fontId="65" fillId="48" borderId="0" xfId="0" applyFont="1" applyFill="1" applyAlignment="1">
      <alignment horizontal="center" vertical="center" wrapText="1"/>
    </xf>
    <xf numFmtId="0" fontId="68" fillId="50" borderId="61" xfId="0" applyFont="1" applyFill="1" applyBorder="1" applyAlignment="1">
      <alignment horizontal="center" vertical="center" wrapText="1"/>
    </xf>
    <xf numFmtId="0" fontId="68" fillId="50" borderId="10" xfId="0" applyFont="1" applyFill="1" applyBorder="1" applyAlignment="1">
      <alignment horizontal="center" vertical="center" wrapText="1"/>
    </xf>
    <xf numFmtId="0" fontId="65" fillId="48" borderId="0" xfId="0" applyFont="1" applyFill="1" applyAlignment="1">
      <alignment horizontal="center" vertical="center"/>
    </xf>
    <xf numFmtId="0" fontId="73" fillId="0" borderId="58" xfId="0" applyFont="1" applyBorder="1" applyAlignment="1">
      <alignment horizontal="center" vertical="center" wrapText="1"/>
    </xf>
    <xf numFmtId="0" fontId="73" fillId="0" borderId="44" xfId="0" applyFont="1" applyBorder="1" applyAlignment="1">
      <alignment horizontal="center" vertical="center" wrapText="1"/>
    </xf>
    <xf numFmtId="0" fontId="73" fillId="0" borderId="59" xfId="0" applyFont="1" applyBorder="1" applyAlignment="1">
      <alignment horizontal="center" vertical="center" wrapText="1"/>
    </xf>
    <xf numFmtId="0" fontId="73" fillId="0" borderId="28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29" fillId="48" borderId="10" xfId="0" applyFont="1" applyFill="1" applyBorder="1" applyAlignment="1">
      <alignment horizontal="center" vertical="center"/>
    </xf>
    <xf numFmtId="0" fontId="29" fillId="48" borderId="10" xfId="0" applyFont="1" applyFill="1" applyBorder="1" applyAlignment="1">
      <alignment horizontal="center" vertical="center" wrapText="1"/>
    </xf>
    <xf numFmtId="0" fontId="68" fillId="55" borderId="61" xfId="0" applyFont="1" applyFill="1" applyBorder="1" applyAlignment="1" applyProtection="1">
      <alignment horizontal="center" vertical="center" wrapText="1"/>
      <protection locked="0"/>
    </xf>
    <xf numFmtId="0" fontId="68" fillId="55" borderId="10" xfId="0" applyFont="1" applyFill="1" applyBorder="1" applyAlignment="1" applyProtection="1">
      <alignment horizontal="center" vertical="center" wrapText="1"/>
      <protection locked="0"/>
    </xf>
    <xf numFmtId="0" fontId="68" fillId="55" borderId="57" xfId="0" applyFont="1" applyFill="1" applyBorder="1" applyAlignment="1" applyProtection="1">
      <alignment horizontal="center" vertical="center" wrapText="1"/>
      <protection locked="0"/>
    </xf>
    <xf numFmtId="0" fontId="68" fillId="55" borderId="13" xfId="0" applyFont="1" applyFill="1" applyBorder="1" applyAlignment="1" applyProtection="1">
      <alignment horizontal="center" vertical="center" wrapText="1"/>
      <protection locked="0"/>
    </xf>
    <xf numFmtId="0" fontId="68" fillId="55" borderId="19" xfId="0" applyFont="1" applyFill="1" applyBorder="1" applyAlignment="1" applyProtection="1">
      <alignment horizontal="center" vertical="center" wrapText="1"/>
      <protection locked="0"/>
    </xf>
    <xf numFmtId="0" fontId="73" fillId="0" borderId="58" xfId="0" applyFont="1" applyBorder="1" applyAlignment="1">
      <alignment horizontal="left" vertical="top" wrapText="1"/>
    </xf>
    <xf numFmtId="0" fontId="73" fillId="0" borderId="35" xfId="0" applyFont="1" applyBorder="1" applyAlignment="1">
      <alignment horizontal="left" vertical="top" wrapText="1"/>
    </xf>
    <xf numFmtId="0" fontId="73" fillId="0" borderId="44" xfId="0" applyFont="1" applyBorder="1" applyAlignment="1">
      <alignment horizontal="left" vertical="top" wrapText="1"/>
    </xf>
    <xf numFmtId="0" fontId="73" fillId="0" borderId="59" xfId="0" applyFont="1" applyBorder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73" fillId="0" borderId="28" xfId="0" applyFont="1" applyBorder="1" applyAlignment="1">
      <alignment horizontal="left" vertical="top" wrapText="1"/>
    </xf>
    <xf numFmtId="0" fontId="73" fillId="0" borderId="60" xfId="0" applyFont="1" applyBorder="1" applyAlignment="1">
      <alignment horizontal="left" vertical="top" wrapText="1"/>
    </xf>
    <xf numFmtId="0" fontId="73" fillId="0" borderId="25" xfId="0" applyFont="1" applyBorder="1" applyAlignment="1">
      <alignment horizontal="left" vertical="top" wrapText="1"/>
    </xf>
    <xf numFmtId="0" fontId="73" fillId="0" borderId="43" xfId="0" applyFont="1" applyBorder="1" applyAlignment="1">
      <alignment horizontal="left" vertical="top" wrapText="1"/>
    </xf>
    <xf numFmtId="0" fontId="73" fillId="0" borderId="58" xfId="0" applyFont="1" applyBorder="1" applyAlignment="1">
      <alignment horizontal="left" vertical="center" wrapText="1"/>
    </xf>
    <xf numFmtId="0" fontId="73" fillId="0" borderId="35" xfId="0" applyFont="1" applyBorder="1" applyAlignment="1">
      <alignment horizontal="left" vertical="center" wrapText="1"/>
    </xf>
    <xf numFmtId="0" fontId="73" fillId="0" borderId="44" xfId="0" applyFont="1" applyBorder="1" applyAlignment="1">
      <alignment horizontal="left" vertical="center" wrapText="1"/>
    </xf>
    <xf numFmtId="0" fontId="73" fillId="0" borderId="59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3" fillId="0" borderId="28" xfId="0" applyFont="1" applyBorder="1" applyAlignment="1">
      <alignment horizontal="left" vertical="center" wrapText="1"/>
    </xf>
    <xf numFmtId="0" fontId="73" fillId="0" borderId="60" xfId="0" applyFont="1" applyBorder="1" applyAlignment="1">
      <alignment horizontal="left" vertical="center" wrapText="1"/>
    </xf>
    <xf numFmtId="0" fontId="73" fillId="0" borderId="25" xfId="0" applyFont="1" applyBorder="1" applyAlignment="1">
      <alignment horizontal="left" vertical="center" wrapText="1"/>
    </xf>
    <xf numFmtId="0" fontId="73" fillId="0" borderId="43" xfId="0" applyFont="1" applyBorder="1" applyAlignment="1">
      <alignment horizontal="left" vertical="center" wrapText="1"/>
    </xf>
    <xf numFmtId="0" fontId="73" fillId="0" borderId="61" xfId="0" applyFont="1" applyBorder="1" applyAlignment="1">
      <alignment horizontal="left" vertical="top" wrapText="1"/>
    </xf>
    <xf numFmtId="0" fontId="73" fillId="0" borderId="10" xfId="0" applyFont="1" applyBorder="1" applyAlignment="1">
      <alignment horizontal="left" vertical="top" wrapText="1"/>
    </xf>
    <xf numFmtId="0" fontId="173" fillId="47" borderId="10" xfId="341" applyFont="1" applyFill="1" applyBorder="1" applyAlignment="1">
      <alignment horizontal="center" vertical="center" wrapText="1"/>
    </xf>
    <xf numFmtId="0" fontId="169" fillId="5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73" fillId="0" borderId="58" xfId="0" applyFont="1" applyBorder="1" applyAlignment="1" applyProtection="1">
      <alignment horizontal="left" vertical="top" wrapText="1"/>
      <protection locked="0"/>
    </xf>
    <xf numFmtId="0" fontId="73" fillId="0" borderId="35" xfId="0" applyFont="1" applyBorder="1" applyAlignment="1" applyProtection="1">
      <alignment horizontal="left" vertical="top" wrapText="1"/>
      <protection locked="0"/>
    </xf>
    <xf numFmtId="0" fontId="73" fillId="0" borderId="44" xfId="0" applyFont="1" applyBorder="1" applyAlignment="1" applyProtection="1">
      <alignment horizontal="left" vertical="top" wrapText="1"/>
      <protection locked="0"/>
    </xf>
    <xf numFmtId="0" fontId="73" fillId="0" borderId="59" xfId="0" applyFont="1" applyBorder="1" applyAlignment="1" applyProtection="1">
      <alignment horizontal="left" vertical="top" wrapText="1"/>
      <protection locked="0"/>
    </xf>
    <xf numFmtId="0" fontId="73" fillId="0" borderId="0" xfId="0" applyFont="1" applyAlignment="1" applyProtection="1">
      <alignment horizontal="left" vertical="top" wrapText="1"/>
      <protection locked="0"/>
    </xf>
    <xf numFmtId="0" fontId="73" fillId="0" borderId="28" xfId="0" applyFont="1" applyBorder="1" applyAlignment="1" applyProtection="1">
      <alignment horizontal="left" vertical="top" wrapText="1"/>
      <protection locked="0"/>
    </xf>
    <xf numFmtId="0" fontId="73" fillId="0" borderId="60" xfId="0" applyFont="1" applyBorder="1" applyAlignment="1" applyProtection="1">
      <alignment horizontal="left" vertical="top" wrapText="1"/>
      <protection locked="0"/>
    </xf>
    <xf numFmtId="0" fontId="73" fillId="0" borderId="25" xfId="0" applyFont="1" applyBorder="1" applyAlignment="1" applyProtection="1">
      <alignment horizontal="left" vertical="top" wrapText="1"/>
      <protection locked="0"/>
    </xf>
    <xf numFmtId="0" fontId="73" fillId="0" borderId="43" xfId="0" applyFont="1" applyBorder="1" applyAlignment="1" applyProtection="1">
      <alignment horizontal="left" vertical="top" wrapText="1"/>
      <protection locked="0"/>
    </xf>
    <xf numFmtId="0" fontId="169" fillId="55" borderId="10" xfId="0" applyFont="1" applyFill="1" applyBorder="1" applyAlignment="1">
      <alignment horizontal="center" vertical="center"/>
    </xf>
    <xf numFmtId="0" fontId="169" fillId="55" borderId="21" xfId="0" applyFont="1" applyFill="1" applyBorder="1" applyAlignment="1">
      <alignment horizontal="center" vertical="center"/>
    </xf>
    <xf numFmtId="0" fontId="32" fillId="0" borderId="178" xfId="0" applyFont="1" applyBorder="1" applyAlignment="1">
      <alignment horizontal="left" vertical="center" wrapText="1"/>
    </xf>
    <xf numFmtId="0" fontId="169" fillId="55" borderId="17" xfId="0" applyFont="1" applyFill="1" applyBorder="1" applyAlignment="1">
      <alignment horizontal="center" vertical="center" wrapText="1"/>
    </xf>
    <xf numFmtId="0" fontId="169" fillId="55" borderId="18" xfId="0" applyFont="1" applyFill="1" applyBorder="1" applyAlignment="1">
      <alignment horizontal="center" vertical="center" wrapText="1"/>
    </xf>
    <xf numFmtId="0" fontId="110" fillId="67" borderId="10" xfId="0" applyFont="1" applyFill="1" applyBorder="1" applyAlignment="1">
      <alignment horizontal="center" vertical="center"/>
    </xf>
    <xf numFmtId="0" fontId="110" fillId="57" borderId="10" xfId="0" applyFont="1" applyFill="1" applyBorder="1" applyAlignment="1">
      <alignment horizontal="center" vertical="center"/>
    </xf>
    <xf numFmtId="0" fontId="35" fillId="0" borderId="29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121" fillId="0" borderId="0" xfId="0" applyFont="1" applyAlignment="1">
      <alignment horizontal="center" vertical="center" wrapText="1"/>
    </xf>
    <xf numFmtId="9" fontId="46" fillId="0" borderId="0" xfId="357" applyFont="1" applyFill="1" applyBorder="1" applyAlignment="1">
      <alignment horizontal="center" vertical="center"/>
    </xf>
    <xf numFmtId="0" fontId="111" fillId="55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top" wrapText="1"/>
    </xf>
    <xf numFmtId="166" fontId="175" fillId="51" borderId="0" xfId="0" applyNumberFormat="1" applyFont="1" applyFill="1" applyAlignment="1">
      <alignment horizontal="center" vertical="center"/>
    </xf>
    <xf numFmtId="0" fontId="169" fillId="55" borderId="19" xfId="0" applyFont="1" applyFill="1" applyBorder="1" applyAlignment="1">
      <alignment horizontal="center" vertical="center"/>
    </xf>
    <xf numFmtId="0" fontId="37" fillId="0" borderId="0" xfId="340" applyFont="1" applyAlignment="1" applyProtection="1">
      <alignment horizontal="center" vertical="center"/>
      <protection hidden="1"/>
    </xf>
    <xf numFmtId="166" fontId="169" fillId="56" borderId="10" xfId="0" applyNumberFormat="1" applyFont="1" applyFill="1" applyBorder="1" applyAlignment="1">
      <alignment horizontal="center" vertical="center"/>
    </xf>
    <xf numFmtId="166" fontId="170" fillId="0" borderId="0" xfId="0" applyNumberFormat="1" applyFont="1" applyAlignment="1">
      <alignment horizontal="center" vertical="center" wrapText="1"/>
    </xf>
    <xf numFmtId="166" fontId="175" fillId="0" borderId="0" xfId="0" applyNumberFormat="1" applyFont="1" applyAlignment="1">
      <alignment horizontal="center" vertical="center"/>
    </xf>
    <xf numFmtId="0" fontId="31" fillId="55" borderId="32" xfId="0" applyFont="1" applyFill="1" applyBorder="1" applyAlignment="1">
      <alignment horizontal="center" vertical="center" wrapText="1"/>
    </xf>
    <xf numFmtId="0" fontId="31" fillId="55" borderId="28" xfId="0" applyFont="1" applyFill="1" applyBorder="1" applyAlignment="1">
      <alignment horizontal="center" vertical="center" wrapText="1"/>
    </xf>
    <xf numFmtId="0" fontId="169" fillId="55" borderId="29" xfId="0" applyFont="1" applyFill="1" applyBorder="1" applyAlignment="1">
      <alignment horizontal="center" vertical="center" wrapText="1"/>
    </xf>
    <xf numFmtId="0" fontId="169" fillId="55" borderId="44" xfId="0" applyFont="1" applyFill="1" applyBorder="1" applyAlignment="1">
      <alignment horizontal="center" vertical="center" wrapText="1"/>
    </xf>
    <xf numFmtId="0" fontId="169" fillId="55" borderId="32" xfId="0" applyFont="1" applyFill="1" applyBorder="1" applyAlignment="1">
      <alignment horizontal="center" vertical="center" wrapText="1"/>
    </xf>
    <xf numFmtId="0" fontId="169" fillId="55" borderId="28" xfId="0" applyFont="1" applyFill="1" applyBorder="1" applyAlignment="1">
      <alignment horizontal="center" vertical="center" wrapText="1"/>
    </xf>
    <xf numFmtId="0" fontId="169" fillId="55" borderId="27" xfId="0" applyFont="1" applyFill="1" applyBorder="1" applyAlignment="1">
      <alignment horizontal="center" vertical="center" wrapText="1"/>
    </xf>
    <xf numFmtId="0" fontId="169" fillId="55" borderId="43" xfId="0" applyFont="1" applyFill="1" applyBorder="1" applyAlignment="1">
      <alignment horizontal="center" vertical="center" wrapText="1"/>
    </xf>
    <xf numFmtId="0" fontId="169" fillId="55" borderId="15" xfId="0" applyFont="1" applyFill="1" applyBorder="1" applyAlignment="1">
      <alignment horizontal="center" vertical="center" wrapText="1"/>
    </xf>
    <xf numFmtId="166" fontId="169" fillId="56" borderId="17" xfId="0" applyNumberFormat="1" applyFont="1" applyFill="1" applyBorder="1" applyAlignment="1">
      <alignment horizontal="center" vertical="center"/>
    </xf>
    <xf numFmtId="166" fontId="169" fillId="56" borderId="15" xfId="0" applyNumberFormat="1" applyFont="1" applyFill="1" applyBorder="1" applyAlignment="1">
      <alignment horizontal="center" vertical="center"/>
    </xf>
    <xf numFmtId="166" fontId="169" fillId="56" borderId="18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166" fontId="170" fillId="55" borderId="17" xfId="0" applyNumberFormat="1" applyFont="1" applyFill="1" applyBorder="1" applyAlignment="1">
      <alignment horizontal="center" vertical="center" wrapText="1"/>
    </xf>
    <xf numFmtId="166" fontId="170" fillId="55" borderId="18" xfId="0" applyNumberFormat="1" applyFont="1" applyFill="1" applyBorder="1" applyAlignment="1">
      <alignment horizontal="center" vertical="center" wrapText="1"/>
    </xf>
    <xf numFmtId="166" fontId="170" fillId="55" borderId="29" xfId="0" applyNumberFormat="1" applyFont="1" applyFill="1" applyBorder="1" applyAlignment="1">
      <alignment horizontal="center" vertical="center" wrapText="1"/>
    </xf>
    <xf numFmtId="166" fontId="170" fillId="55" borderId="27" xfId="0" applyNumberFormat="1" applyFont="1" applyFill="1" applyBorder="1" applyAlignment="1">
      <alignment horizontal="center" vertical="center" wrapText="1"/>
    </xf>
    <xf numFmtId="0" fontId="35" fillId="0" borderId="10" xfId="339" applyFont="1" applyBorder="1" applyAlignment="1">
      <alignment horizontal="center" vertical="center" wrapText="1"/>
    </xf>
    <xf numFmtId="0" fontId="35" fillId="0" borderId="21" xfId="339" applyFont="1" applyBorder="1" applyAlignment="1">
      <alignment horizontal="left" vertical="center" wrapText="1"/>
    </xf>
    <xf numFmtId="0" fontId="35" fillId="0" borderId="13" xfId="339" applyFont="1" applyBorder="1" applyAlignment="1">
      <alignment horizontal="left" vertical="center" wrapText="1"/>
    </xf>
    <xf numFmtId="0" fontId="35" fillId="0" borderId="19" xfId="339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5" fillId="0" borderId="35" xfId="339" applyFont="1" applyBorder="1" applyAlignment="1">
      <alignment horizontal="center" vertical="center" wrapText="1"/>
    </xf>
    <xf numFmtId="0" fontId="35" fillId="0" borderId="0" xfId="339" applyFont="1" applyAlignment="1">
      <alignment horizontal="center" vertical="center" wrapText="1"/>
    </xf>
    <xf numFmtId="0" fontId="35" fillId="0" borderId="25" xfId="339" applyFont="1" applyBorder="1" applyAlignment="1">
      <alignment horizontal="center" vertical="center" wrapText="1"/>
    </xf>
    <xf numFmtId="0" fontId="35" fillId="0" borderId="10" xfId="339" applyFont="1" applyBorder="1" applyAlignment="1">
      <alignment horizontal="left" vertical="center" wrapText="1"/>
    </xf>
    <xf numFmtId="0" fontId="35" fillId="0" borderId="25" xfId="339" applyFont="1" applyBorder="1" applyAlignment="1">
      <alignment horizontal="left" vertical="center" wrapText="1"/>
    </xf>
    <xf numFmtId="0" fontId="31" fillId="55" borderId="21" xfId="0" applyFont="1" applyFill="1" applyBorder="1" applyAlignment="1" applyProtection="1">
      <alignment horizontal="center" vertical="center"/>
      <protection hidden="1"/>
    </xf>
    <xf numFmtId="0" fontId="31" fillId="55" borderId="13" xfId="0" applyFont="1" applyFill="1" applyBorder="1" applyAlignment="1" applyProtection="1">
      <alignment horizontal="center" vertical="center"/>
      <protection hidden="1"/>
    </xf>
    <xf numFmtId="0" fontId="31" fillId="55" borderId="19" xfId="0" applyFont="1" applyFill="1" applyBorder="1" applyAlignment="1" applyProtection="1">
      <alignment horizontal="center" vertical="center"/>
      <protection hidden="1"/>
    </xf>
    <xf numFmtId="0" fontId="156" fillId="0" borderId="139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5" fillId="0" borderId="29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159" fillId="0" borderId="35" xfId="0" applyFont="1" applyBorder="1" applyAlignment="1">
      <alignment horizontal="right" wrapText="1"/>
    </xf>
    <xf numFmtId="0" fontId="159" fillId="0" borderId="44" xfId="0" applyFont="1" applyBorder="1" applyAlignment="1">
      <alignment horizontal="right" wrapText="1"/>
    </xf>
    <xf numFmtId="0" fontId="159" fillId="0" borderId="25" xfId="0" applyFont="1" applyBorder="1" applyAlignment="1">
      <alignment horizontal="right" wrapText="1"/>
    </xf>
    <xf numFmtId="0" fontId="159" fillId="0" borderId="43" xfId="0" applyFont="1" applyBorder="1" applyAlignment="1">
      <alignment horizontal="right" wrapText="1"/>
    </xf>
    <xf numFmtId="0" fontId="32" fillId="0" borderId="35" xfId="0" applyFont="1" applyBorder="1" applyAlignment="1" applyProtection="1">
      <alignment horizontal="center" vertical="center" wrapText="1"/>
      <protection hidden="1"/>
    </xf>
    <xf numFmtId="0" fontId="32" fillId="0" borderId="29" xfId="0" applyFont="1" applyBorder="1" applyAlignment="1" applyProtection="1">
      <alignment horizontal="center" vertical="center"/>
      <protection hidden="1"/>
    </xf>
    <xf numFmtId="0" fontId="32" fillId="0" borderId="35" xfId="0" applyFont="1" applyBorder="1" applyAlignment="1" applyProtection="1">
      <alignment horizontal="center" vertical="center"/>
      <protection hidden="1"/>
    </xf>
    <xf numFmtId="0" fontId="32" fillId="0" borderId="44" xfId="0" applyFont="1" applyBorder="1" applyAlignment="1" applyProtection="1">
      <alignment horizontal="center" vertical="center"/>
      <protection hidden="1"/>
    </xf>
    <xf numFmtId="0" fontId="32" fillId="0" borderId="21" xfId="288" applyFont="1" applyBorder="1" applyAlignment="1">
      <alignment horizontal="center" vertical="center" wrapText="1"/>
    </xf>
    <xf numFmtId="0" fontId="32" fillId="0" borderId="13" xfId="288" applyFont="1" applyBorder="1" applyAlignment="1">
      <alignment horizontal="center" vertical="center" wrapText="1"/>
    </xf>
    <xf numFmtId="0" fontId="32" fillId="0" borderId="19" xfId="288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5" fillId="0" borderId="21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65" fillId="0" borderId="21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9" xfId="0" applyFont="1" applyBorder="1" applyAlignment="1">
      <alignment horizontal="center" vertical="center" wrapText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166" fontId="32" fillId="0" borderId="21" xfId="0" applyNumberFormat="1" applyFont="1" applyBorder="1" applyAlignment="1" applyProtection="1">
      <alignment horizontal="left" vertical="center" wrapText="1"/>
      <protection hidden="1"/>
    </xf>
    <xf numFmtId="166" fontId="32" fillId="0" borderId="13" xfId="0" applyNumberFormat="1" applyFont="1" applyBorder="1" applyAlignment="1" applyProtection="1">
      <alignment horizontal="left" vertical="center" wrapText="1"/>
      <protection hidden="1"/>
    </xf>
    <xf numFmtId="0" fontId="159" fillId="0" borderId="13" xfId="0" applyFont="1" applyBorder="1" applyAlignment="1">
      <alignment horizontal="right" wrapText="1"/>
    </xf>
    <xf numFmtId="0" fontId="159" fillId="0" borderId="19" xfId="0" applyFont="1" applyBorder="1" applyAlignment="1">
      <alignment horizontal="right" wrapText="1"/>
    </xf>
    <xf numFmtId="0" fontId="32" fillId="0" borderId="21" xfId="0" applyFont="1" applyBorder="1" applyAlignment="1">
      <alignment horizontal="left" vertical="top" wrapText="1"/>
    </xf>
    <xf numFmtId="0" fontId="32" fillId="0" borderId="13" xfId="0" applyFont="1" applyBorder="1" applyAlignment="1">
      <alignment horizontal="left" vertical="top" wrapText="1"/>
    </xf>
    <xf numFmtId="0" fontId="32" fillId="0" borderId="19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30" xfId="339" applyFont="1" applyBorder="1" applyAlignment="1">
      <alignment horizontal="center" vertical="center" wrapText="1"/>
    </xf>
    <xf numFmtId="0" fontId="32" fillId="0" borderId="62" xfId="339" applyFont="1" applyBorder="1" applyAlignment="1">
      <alignment horizontal="center" vertical="center" wrapText="1"/>
    </xf>
    <xf numFmtId="4" fontId="32" fillId="0" borderId="30" xfId="339" applyNumberFormat="1" applyFont="1" applyBorder="1" applyAlignment="1">
      <alignment horizontal="center" vertical="center" wrapText="1"/>
    </xf>
    <xf numFmtId="4" fontId="32" fillId="0" borderId="62" xfId="339" applyNumberFormat="1" applyFont="1" applyBorder="1" applyAlignment="1">
      <alignment horizontal="center" vertical="center" wrapText="1"/>
    </xf>
    <xf numFmtId="4" fontId="32" fillId="0" borderId="21" xfId="339" applyNumberFormat="1" applyFont="1" applyBorder="1" applyAlignment="1">
      <alignment horizontal="center" vertical="center" wrapText="1"/>
    </xf>
    <xf numFmtId="4" fontId="32" fillId="0" borderId="19" xfId="339" applyNumberFormat="1" applyFont="1" applyBorder="1" applyAlignment="1">
      <alignment horizontal="center" vertical="center" wrapText="1"/>
    </xf>
    <xf numFmtId="0" fontId="32" fillId="0" borderId="72" xfId="339" applyFont="1" applyBorder="1" applyAlignment="1">
      <alignment horizontal="center" vertical="center" wrapText="1"/>
    </xf>
    <xf numFmtId="3" fontId="35" fillId="0" borderId="65" xfId="339" applyNumberFormat="1" applyFont="1" applyBorder="1" applyAlignment="1">
      <alignment horizontal="center" vertical="center" wrapText="1"/>
    </xf>
    <xf numFmtId="3" fontId="35" fillId="0" borderId="15" xfId="339" applyNumberFormat="1" applyFont="1" applyBorder="1" applyAlignment="1">
      <alignment horizontal="center" vertical="center" wrapText="1"/>
    </xf>
    <xf numFmtId="3" fontId="35" fillId="0" borderId="18" xfId="339" applyNumberFormat="1" applyFont="1" applyBorder="1" applyAlignment="1">
      <alignment horizontal="center" vertical="center" wrapText="1"/>
    </xf>
    <xf numFmtId="3" fontId="35" fillId="0" borderId="66" xfId="339" applyNumberFormat="1" applyFont="1" applyBorder="1" applyAlignment="1">
      <alignment horizontal="center" vertical="center" wrapText="1"/>
    </xf>
    <xf numFmtId="0" fontId="32" fillId="0" borderId="21" xfId="339" applyFont="1" applyBorder="1" applyAlignment="1">
      <alignment horizontal="center" vertical="center" wrapText="1"/>
    </xf>
    <xf numFmtId="0" fontId="32" fillId="0" borderId="13" xfId="339" applyFont="1" applyBorder="1" applyAlignment="1">
      <alignment horizontal="center" vertical="center" wrapText="1"/>
    </xf>
    <xf numFmtId="0" fontId="32" fillId="0" borderId="19" xfId="339" applyFont="1" applyBorder="1" applyAlignment="1">
      <alignment horizontal="center" vertical="center" wrapText="1"/>
    </xf>
    <xf numFmtId="0" fontId="32" fillId="0" borderId="27" xfId="339" applyFont="1" applyBorder="1" applyAlignment="1">
      <alignment horizontal="center" vertical="center" wrapText="1"/>
    </xf>
    <xf numFmtId="0" fontId="32" fillId="0" borderId="43" xfId="339" applyFont="1" applyBorder="1" applyAlignment="1">
      <alignment horizontal="center" vertical="center" wrapText="1"/>
    </xf>
    <xf numFmtId="4" fontId="32" fillId="0" borderId="32" xfId="339" applyNumberFormat="1" applyFont="1" applyBorder="1" applyAlignment="1">
      <alignment horizontal="center" vertical="center" wrapText="1"/>
    </xf>
    <xf numFmtId="4" fontId="32" fillId="0" borderId="28" xfId="339" applyNumberFormat="1" applyFont="1" applyBorder="1" applyAlignment="1">
      <alignment horizontal="center" vertical="center" wrapText="1"/>
    </xf>
    <xf numFmtId="0" fontId="32" fillId="0" borderId="10" xfId="339" applyFont="1" applyBorder="1" applyAlignment="1">
      <alignment horizontal="center" vertical="center" wrapText="1"/>
    </xf>
    <xf numFmtId="4" fontId="32" fillId="0" borderId="29" xfId="339" applyNumberFormat="1" applyFont="1" applyBorder="1" applyAlignment="1">
      <alignment horizontal="center" vertical="center" wrapText="1"/>
    </xf>
    <xf numFmtId="4" fontId="32" fillId="0" borderId="44" xfId="339" applyNumberFormat="1" applyFont="1" applyBorder="1" applyAlignment="1">
      <alignment horizontal="center" vertical="center" wrapText="1"/>
    </xf>
    <xf numFmtId="0" fontId="35" fillId="0" borderId="17" xfId="339" applyFont="1" applyBorder="1" applyAlignment="1">
      <alignment horizontal="center" vertical="center" wrapText="1"/>
    </xf>
    <xf numFmtId="0" fontId="35" fillId="0" borderId="15" xfId="339" applyFont="1" applyBorder="1" applyAlignment="1">
      <alignment horizontal="center" vertical="center" wrapText="1"/>
    </xf>
    <xf numFmtId="0" fontId="32" fillId="0" borderId="17" xfId="339" applyFont="1" applyBorder="1" applyAlignment="1">
      <alignment horizontal="center" wrapText="1"/>
    </xf>
    <xf numFmtId="0" fontId="32" fillId="0" borderId="15" xfId="339" applyFont="1" applyBorder="1" applyAlignment="1">
      <alignment horizontal="center" wrapText="1"/>
    </xf>
    <xf numFmtId="0" fontId="32" fillId="0" borderId="18" xfId="339" applyFont="1" applyBorder="1" applyAlignment="1">
      <alignment horizontal="center" wrapText="1"/>
    </xf>
    <xf numFmtId="0" fontId="32" fillId="0" borderId="65" xfId="339" applyFont="1" applyBorder="1" applyAlignment="1">
      <alignment horizontal="center" wrapText="1"/>
    </xf>
    <xf numFmtId="2" fontId="31" fillId="0" borderId="65" xfId="186" applyNumberFormat="1" applyFont="1" applyBorder="1" applyAlignment="1">
      <alignment horizontal="center" vertical="center" wrapText="1"/>
    </xf>
    <xf numFmtId="2" fontId="31" fillId="0" borderId="15" xfId="186" applyNumberFormat="1" applyFont="1" applyBorder="1" applyAlignment="1">
      <alignment horizontal="center" vertical="center" wrapText="1"/>
    </xf>
    <xf numFmtId="2" fontId="31" fillId="0" borderId="18" xfId="186" applyNumberFormat="1" applyFont="1" applyBorder="1" applyAlignment="1">
      <alignment horizontal="center" vertical="center" wrapText="1"/>
    </xf>
    <xf numFmtId="0" fontId="32" fillId="0" borderId="29" xfId="339" applyFont="1" applyBorder="1" applyAlignment="1">
      <alignment horizontal="center" vertical="center" wrapText="1"/>
    </xf>
    <xf numFmtId="0" fontId="32" fillId="0" borderId="44" xfId="339" applyFont="1" applyBorder="1" applyAlignment="1">
      <alignment horizontal="center" vertical="center" wrapText="1"/>
    </xf>
    <xf numFmtId="0" fontId="32" fillId="0" borderId="31" xfId="339" applyFont="1" applyBorder="1" applyAlignment="1">
      <alignment horizontal="center" vertical="center" wrapText="1"/>
    </xf>
    <xf numFmtId="0" fontId="32" fillId="0" borderId="63" xfId="339" applyFont="1" applyBorder="1" applyAlignment="1">
      <alignment horizontal="center" vertical="center" wrapText="1"/>
    </xf>
    <xf numFmtId="0" fontId="32" fillId="0" borderId="64" xfId="339" applyFont="1" applyBorder="1" applyAlignment="1">
      <alignment horizontal="center" vertical="center" wrapText="1"/>
    </xf>
    <xf numFmtId="0" fontId="32" fillId="0" borderId="32" xfId="339" applyFont="1" applyBorder="1" applyAlignment="1">
      <alignment horizontal="center" vertical="center" wrapText="1"/>
    </xf>
    <xf numFmtId="0" fontId="32" fillId="0" borderId="0" xfId="339" applyFont="1" applyAlignment="1">
      <alignment horizontal="center" vertical="center" wrapText="1"/>
    </xf>
    <xf numFmtId="0" fontId="32" fillId="0" borderId="28" xfId="339" applyFont="1" applyBorder="1" applyAlignment="1">
      <alignment horizontal="center" vertical="center" wrapText="1"/>
    </xf>
    <xf numFmtId="0" fontId="32" fillId="0" borderId="25" xfId="339" applyFont="1" applyBorder="1" applyAlignment="1">
      <alignment horizontal="center" vertical="center" wrapText="1"/>
    </xf>
    <xf numFmtId="0" fontId="35" fillId="0" borderId="23" xfId="339" applyFont="1" applyBorder="1" applyAlignment="1">
      <alignment horizontal="center" vertical="center" wrapText="1"/>
    </xf>
    <xf numFmtId="0" fontId="35" fillId="0" borderId="39" xfId="339" applyFont="1" applyBorder="1" applyAlignment="1">
      <alignment horizontal="center" vertical="center" wrapText="1"/>
    </xf>
    <xf numFmtId="0" fontId="35" fillId="0" borderId="46" xfId="339" applyFont="1" applyBorder="1" applyAlignment="1">
      <alignment horizontal="center" vertical="center" wrapText="1"/>
    </xf>
    <xf numFmtId="0" fontId="32" fillId="0" borderId="66" xfId="339" applyFont="1" applyBorder="1" applyAlignment="1">
      <alignment horizontal="center" wrapText="1"/>
    </xf>
    <xf numFmtId="0" fontId="32" fillId="0" borderId="65" xfId="339" applyFont="1" applyBorder="1" applyAlignment="1">
      <alignment horizontal="center" vertical="center" wrapText="1"/>
    </xf>
    <xf numFmtId="0" fontId="32" fillId="0" borderId="15" xfId="339" applyFont="1" applyBorder="1" applyAlignment="1">
      <alignment horizontal="center" vertical="center" wrapText="1"/>
    </xf>
    <xf numFmtId="0" fontId="32" fillId="0" borderId="18" xfId="339" applyFont="1" applyBorder="1" applyAlignment="1">
      <alignment horizontal="center" vertical="center" wrapText="1"/>
    </xf>
    <xf numFmtId="0" fontId="32" fillId="0" borderId="36" xfId="339" applyFont="1" applyBorder="1" applyAlignment="1">
      <alignment horizontal="center" vertical="center" wrapText="1"/>
    </xf>
    <xf numFmtId="0" fontId="32" fillId="0" borderId="69" xfId="339" applyFont="1" applyBorder="1" applyAlignment="1">
      <alignment horizontal="center" vertical="center" wrapText="1"/>
    </xf>
    <xf numFmtId="0" fontId="32" fillId="0" borderId="70" xfId="339" applyFont="1" applyBorder="1" applyAlignment="1">
      <alignment horizontal="center" vertical="center" wrapText="1"/>
    </xf>
    <xf numFmtId="2" fontId="31" fillId="0" borderId="65" xfId="166" applyNumberFormat="1" applyFont="1" applyBorder="1" applyAlignment="1">
      <alignment horizontal="center" vertical="center" wrapText="1"/>
    </xf>
    <xf numFmtId="2" fontId="31" fillId="0" borderId="15" xfId="166" applyNumberFormat="1" applyFont="1" applyBorder="1" applyAlignment="1">
      <alignment horizontal="center" vertical="center" wrapText="1"/>
    </xf>
    <xf numFmtId="2" fontId="31" fillId="0" borderId="18" xfId="166" applyNumberFormat="1" applyFont="1" applyBorder="1" applyAlignment="1">
      <alignment horizontal="center" vertical="center" wrapText="1"/>
    </xf>
    <xf numFmtId="168" fontId="34" fillId="50" borderId="17" xfId="339" applyNumberFormat="1" applyFont="1" applyFill="1" applyBorder="1" applyAlignment="1">
      <alignment horizontal="center" vertical="center" wrapText="1"/>
    </xf>
    <xf numFmtId="168" fontId="34" fillId="50" borderId="18" xfId="339" applyNumberFormat="1" applyFont="1" applyFill="1" applyBorder="1" applyAlignment="1">
      <alignment horizontal="center" vertical="center" wrapText="1"/>
    </xf>
    <xf numFmtId="0" fontId="34" fillId="50" borderId="21" xfId="339" applyFont="1" applyFill="1" applyBorder="1" applyAlignment="1">
      <alignment horizontal="center" wrapText="1"/>
    </xf>
    <xf numFmtId="0" fontId="34" fillId="50" borderId="19" xfId="339" applyFont="1" applyFill="1" applyBorder="1" applyAlignment="1">
      <alignment horizontal="center" wrapText="1"/>
    </xf>
    <xf numFmtId="3" fontId="35" fillId="0" borderId="17" xfId="339" applyNumberFormat="1" applyFont="1" applyBorder="1" applyAlignment="1">
      <alignment horizontal="center" vertical="center" wrapText="1"/>
    </xf>
    <xf numFmtId="0" fontId="34" fillId="50" borderId="17" xfId="339" applyFont="1" applyFill="1" applyBorder="1" applyAlignment="1">
      <alignment horizontal="center" vertical="center" wrapText="1"/>
    </xf>
    <xf numFmtId="0" fontId="34" fillId="50" borderId="18" xfId="339" applyFont="1" applyFill="1" applyBorder="1" applyAlignment="1">
      <alignment horizontal="center" vertical="center" wrapText="1"/>
    </xf>
    <xf numFmtId="0" fontId="34" fillId="50" borderId="21" xfId="339" applyFont="1" applyFill="1" applyBorder="1" applyAlignment="1">
      <alignment horizontal="center" vertical="center" wrapText="1"/>
    </xf>
    <xf numFmtId="0" fontId="34" fillId="50" borderId="13" xfId="339" applyFont="1" applyFill="1" applyBorder="1" applyAlignment="1">
      <alignment horizontal="center" vertical="center" wrapText="1"/>
    </xf>
    <xf numFmtId="0" fontId="34" fillId="50" borderId="19" xfId="339" applyFont="1" applyFill="1" applyBorder="1" applyAlignment="1">
      <alignment horizontal="center" vertical="center" wrapText="1"/>
    </xf>
    <xf numFmtId="0" fontId="34" fillId="50" borderId="29" xfId="339" applyFont="1" applyFill="1" applyBorder="1" applyAlignment="1">
      <alignment horizontal="center" vertical="center" wrapText="1"/>
    </xf>
    <xf numFmtId="0" fontId="34" fillId="50" borderId="44" xfId="339" applyFont="1" applyFill="1" applyBorder="1" applyAlignment="1">
      <alignment horizontal="center" vertical="center" wrapText="1"/>
    </xf>
    <xf numFmtId="0" fontId="34" fillId="50" borderId="27" xfId="339" applyFont="1" applyFill="1" applyBorder="1" applyAlignment="1">
      <alignment horizontal="center" vertical="center" wrapText="1"/>
    </xf>
    <xf numFmtId="0" fontId="34" fillId="50" borderId="43" xfId="339" applyFont="1" applyFill="1" applyBorder="1" applyAlignment="1">
      <alignment horizontal="center" vertical="center" wrapText="1"/>
    </xf>
    <xf numFmtId="0" fontId="32" fillId="0" borderId="17" xfId="339" applyFont="1" applyBorder="1" applyAlignment="1">
      <alignment horizontal="center" vertical="center" wrapText="1"/>
    </xf>
    <xf numFmtId="2" fontId="31" fillId="0" borderId="17" xfId="166" applyNumberFormat="1" applyFont="1" applyBorder="1" applyAlignment="1">
      <alignment horizontal="center" vertical="center" wrapText="1"/>
    </xf>
    <xf numFmtId="0" fontId="35" fillId="0" borderId="17" xfId="339" applyFont="1" applyBorder="1" applyAlignment="1">
      <alignment horizontal="left" vertical="center" wrapText="1"/>
    </xf>
    <xf numFmtId="0" fontId="35" fillId="0" borderId="18" xfId="339" applyFont="1" applyBorder="1" applyAlignment="1">
      <alignment horizontal="left" vertical="center" wrapText="1"/>
    </xf>
    <xf numFmtId="0" fontId="35" fillId="0" borderId="65" xfId="339" applyFont="1" applyBorder="1" applyAlignment="1">
      <alignment horizontal="center" vertical="center" wrapText="1"/>
    </xf>
    <xf numFmtId="0" fontId="35" fillId="0" borderId="66" xfId="339" applyFont="1" applyBorder="1" applyAlignment="1">
      <alignment horizontal="center" vertical="center" wrapText="1"/>
    </xf>
    <xf numFmtId="0" fontId="32" fillId="0" borderId="23" xfId="339" applyFont="1" applyBorder="1" applyAlignment="1">
      <alignment horizontal="center" vertical="center" wrapText="1"/>
    </xf>
    <xf numFmtId="0" fontId="32" fillId="0" borderId="46" xfId="339" applyFont="1" applyBorder="1" applyAlignment="1">
      <alignment horizontal="center" vertical="center" wrapText="1"/>
    </xf>
    <xf numFmtId="49" fontId="32" fillId="0" borderId="23" xfId="339" applyNumberFormat="1" applyFont="1" applyBorder="1" applyAlignment="1">
      <alignment horizontal="center" vertical="center" wrapText="1"/>
    </xf>
    <xf numFmtId="49" fontId="32" fillId="0" borderId="46" xfId="339" applyNumberFormat="1" applyFont="1" applyBorder="1" applyAlignment="1">
      <alignment horizontal="center" vertical="center" wrapText="1"/>
    </xf>
    <xf numFmtId="49" fontId="32" fillId="0" borderId="67" xfId="339" applyNumberFormat="1" applyFont="1" applyBorder="1" applyAlignment="1">
      <alignment horizontal="center" vertical="center" wrapText="1"/>
    </xf>
    <xf numFmtId="49" fontId="32" fillId="0" borderId="68" xfId="339" applyNumberFormat="1" applyFont="1" applyBorder="1" applyAlignment="1">
      <alignment horizontal="center" vertical="center" wrapText="1"/>
    </xf>
    <xf numFmtId="0" fontId="37" fillId="0" borderId="25" xfId="339" applyFont="1" applyBorder="1" applyAlignment="1">
      <alignment horizontal="center"/>
    </xf>
    <xf numFmtId="0" fontId="35" fillId="0" borderId="67" xfId="339" applyFont="1" applyBorder="1" applyAlignment="1">
      <alignment horizontal="center" vertical="center" wrapText="1"/>
    </xf>
    <xf numFmtId="0" fontId="35" fillId="0" borderId="71" xfId="339" applyFont="1" applyBorder="1" applyAlignment="1">
      <alignment horizontal="center" vertical="center" wrapText="1"/>
    </xf>
    <xf numFmtId="0" fontId="35" fillId="0" borderId="68" xfId="339" applyFont="1" applyBorder="1" applyAlignment="1">
      <alignment horizontal="center" vertical="center" wrapText="1"/>
    </xf>
    <xf numFmtId="0" fontId="110" fillId="57" borderId="21" xfId="339" applyFont="1" applyFill="1" applyBorder="1" applyAlignment="1">
      <alignment horizontal="center" vertical="center" wrapText="1"/>
    </xf>
    <xf numFmtId="0" fontId="110" fillId="57" borderId="13" xfId="339" applyFont="1" applyFill="1" applyBorder="1" applyAlignment="1">
      <alignment horizontal="center" vertical="center" wrapText="1"/>
    </xf>
    <xf numFmtId="0" fontId="110" fillId="57" borderId="19" xfId="339" applyFont="1" applyFill="1" applyBorder="1" applyAlignment="1">
      <alignment horizontal="center" vertical="center" wrapText="1"/>
    </xf>
    <xf numFmtId="2" fontId="32" fillId="0" borderId="10" xfId="166" applyNumberFormat="1" applyFont="1" applyBorder="1" applyAlignment="1">
      <alignment horizontal="center" vertical="center" wrapText="1"/>
    </xf>
    <xf numFmtId="0" fontId="32" fillId="0" borderId="35" xfId="339" applyFont="1" applyBorder="1" applyAlignment="1">
      <alignment horizontal="center" vertical="center" wrapText="1"/>
    </xf>
    <xf numFmtId="4" fontId="32" fillId="0" borderId="27" xfId="339" applyNumberFormat="1" applyFont="1" applyBorder="1" applyAlignment="1">
      <alignment horizontal="center" vertical="center" wrapText="1"/>
    </xf>
    <xf numFmtId="4" fontId="32" fillId="0" borderId="43" xfId="339" applyNumberFormat="1" applyFont="1" applyBorder="1" applyAlignment="1">
      <alignment horizontal="center" vertical="center" wrapText="1"/>
    </xf>
    <xf numFmtId="0" fontId="183" fillId="53" borderId="0" xfId="0" applyFont="1" applyFill="1" applyAlignment="1">
      <alignment horizontal="center" vertical="center" wrapText="1"/>
    </xf>
    <xf numFmtId="14" fontId="32" fillId="0" borderId="25" xfId="0" applyNumberFormat="1" applyFont="1" applyBorder="1" applyAlignment="1">
      <alignment horizontal="left" wrapText="1"/>
    </xf>
    <xf numFmtId="0" fontId="32" fillId="0" borderId="11" xfId="0" applyFont="1" applyBorder="1" applyAlignment="1">
      <alignment horizontal="left" vertical="center" wrapText="1"/>
    </xf>
    <xf numFmtId="0" fontId="182" fillId="0" borderId="21" xfId="0" applyFont="1" applyBorder="1" applyAlignment="1">
      <alignment horizontal="center" vertical="center" wrapText="1"/>
    </xf>
    <xf numFmtId="0" fontId="182" fillId="0" borderId="13" xfId="0" applyFont="1" applyBorder="1" applyAlignment="1">
      <alignment horizontal="center" vertical="center" wrapText="1"/>
    </xf>
    <xf numFmtId="0" fontId="182" fillId="0" borderId="19" xfId="0" applyFont="1" applyBorder="1" applyAlignment="1">
      <alignment horizontal="center" vertical="center" wrapText="1"/>
    </xf>
    <xf numFmtId="0" fontId="182" fillId="0" borderId="29" xfId="0" applyFont="1" applyBorder="1" applyAlignment="1">
      <alignment horizontal="center" vertical="center" wrapText="1"/>
    </xf>
    <xf numFmtId="0" fontId="182" fillId="0" borderId="35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73" fillId="0" borderId="10" xfId="0" applyFont="1" applyBorder="1" applyAlignment="1">
      <alignment horizontal="right" vertical="center" wrapText="1"/>
    </xf>
    <xf numFmtId="0" fontId="31" fillId="58" borderId="21" xfId="0" applyFont="1" applyFill="1" applyBorder="1" applyAlignment="1">
      <alignment horizontal="center" vertical="center" wrapText="1"/>
    </xf>
    <xf numFmtId="0" fontId="31" fillId="58" borderId="13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wrapText="1"/>
    </xf>
    <xf numFmtId="0" fontId="31" fillId="58" borderId="10" xfId="0" applyFont="1" applyFill="1" applyBorder="1" applyAlignment="1">
      <alignment horizontal="center" vertical="center" wrapText="1"/>
    </xf>
    <xf numFmtId="0" fontId="31" fillId="56" borderId="21" xfId="0" applyFont="1" applyFill="1" applyBorder="1" applyAlignment="1" applyProtection="1">
      <alignment horizontal="center" vertical="center" wrapText="1"/>
      <protection locked="0"/>
    </xf>
    <xf numFmtId="0" fontId="31" fillId="56" borderId="13" xfId="0" applyFont="1" applyFill="1" applyBorder="1" applyAlignment="1" applyProtection="1">
      <alignment horizontal="center" vertical="center" wrapText="1"/>
      <protection locked="0"/>
    </xf>
    <xf numFmtId="0" fontId="31" fillId="56" borderId="19" xfId="0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Border="1" applyAlignment="1">
      <alignment horizontal="left" vertical="center" wrapText="1"/>
    </xf>
    <xf numFmtId="0" fontId="6" fillId="0" borderId="21" xfId="396" applyFont="1" applyBorder="1" applyAlignment="1">
      <alignment vertical="top" wrapText="1"/>
    </xf>
    <xf numFmtId="0" fontId="6" fillId="0" borderId="13" xfId="396" applyFont="1" applyBorder="1" applyAlignment="1">
      <alignment vertical="top" wrapText="1"/>
    </xf>
    <xf numFmtId="0" fontId="6" fillId="0" borderId="19" xfId="396" applyFont="1" applyBorder="1" applyAlignment="1">
      <alignment vertical="top" wrapText="1"/>
    </xf>
    <xf numFmtId="0" fontId="6" fillId="0" borderId="21" xfId="396" applyFont="1" applyBorder="1" applyAlignment="1">
      <alignment vertical="center"/>
    </xf>
    <xf numFmtId="0" fontId="6" fillId="0" borderId="13" xfId="396" applyFont="1" applyBorder="1" applyAlignment="1">
      <alignment vertical="center"/>
    </xf>
    <xf numFmtId="0" fontId="6" fillId="0" borderId="19" xfId="396" applyFont="1" applyBorder="1" applyAlignment="1">
      <alignment vertical="center"/>
    </xf>
    <xf numFmtId="0" fontId="6" fillId="0" borderId="21" xfId="396" applyFont="1" applyBorder="1" applyAlignment="1">
      <alignment vertical="center" wrapText="1"/>
    </xf>
    <xf numFmtId="0" fontId="6" fillId="0" borderId="13" xfId="396" applyFont="1" applyBorder="1" applyAlignment="1">
      <alignment vertical="center" wrapText="1"/>
    </xf>
    <xf numFmtId="0" fontId="6" fillId="0" borderId="19" xfId="396" applyFont="1" applyBorder="1" applyAlignment="1">
      <alignment vertical="center" wrapText="1"/>
    </xf>
    <xf numFmtId="0" fontId="6" fillId="55" borderId="10" xfId="396" applyFont="1" applyFill="1" applyBorder="1" applyAlignment="1">
      <alignment horizontal="center" vertical="center" wrapText="1"/>
    </xf>
    <xf numFmtId="0" fontId="73" fillId="0" borderId="13" xfId="249" applyFont="1" applyFill="1" applyBorder="1" applyAlignment="1">
      <alignment horizontal="left" vertical="center" wrapText="1"/>
    </xf>
    <xf numFmtId="0" fontId="185" fillId="55" borderId="10" xfId="396" applyFont="1" applyFill="1" applyBorder="1" applyAlignment="1">
      <alignment horizontal="center" vertical="center"/>
    </xf>
    <xf numFmtId="0" fontId="186" fillId="55" borderId="189" xfId="396" applyFont="1" applyFill="1" applyBorder="1" applyAlignment="1">
      <alignment horizontal="center" vertical="center"/>
    </xf>
    <xf numFmtId="0" fontId="186" fillId="55" borderId="190" xfId="396" applyFont="1" applyFill="1" applyBorder="1" applyAlignment="1">
      <alignment horizontal="center" vertical="center"/>
    </xf>
    <xf numFmtId="0" fontId="186" fillId="55" borderId="61" xfId="396" applyFont="1" applyFill="1" applyBorder="1" applyAlignment="1">
      <alignment horizontal="center" vertical="center"/>
    </xf>
    <xf numFmtId="0" fontId="191" fillId="0" borderId="13" xfId="396" applyFont="1" applyBorder="1" applyAlignment="1">
      <alignment horizontal="center" vertical="center" wrapText="1"/>
    </xf>
    <xf numFmtId="0" fontId="191" fillId="0" borderId="181" xfId="396" applyFont="1" applyBorder="1" applyAlignment="1">
      <alignment horizontal="center" vertical="center" wrapText="1"/>
    </xf>
    <xf numFmtId="0" fontId="191" fillId="0" borderId="57" xfId="396" applyFont="1" applyBorder="1" applyAlignment="1">
      <alignment horizontal="center" vertical="center" wrapText="1"/>
    </xf>
    <xf numFmtId="0" fontId="191" fillId="0" borderId="19" xfId="396" applyFont="1" applyBorder="1" applyAlignment="1">
      <alignment horizontal="center" vertical="center" wrapText="1"/>
    </xf>
    <xf numFmtId="0" fontId="185" fillId="55" borderId="10" xfId="396" applyFont="1" applyFill="1" applyBorder="1" applyAlignment="1">
      <alignment horizontal="left" vertical="center"/>
    </xf>
    <xf numFmtId="0" fontId="6" fillId="70" borderId="21" xfId="396" applyFont="1" applyFill="1" applyBorder="1" applyAlignment="1">
      <alignment horizontal="center" vertical="center" wrapText="1"/>
    </xf>
    <xf numFmtId="0" fontId="6" fillId="70" borderId="19" xfId="396" applyFont="1" applyFill="1" applyBorder="1" applyAlignment="1">
      <alignment horizontal="center" vertical="center" wrapText="1"/>
    </xf>
    <xf numFmtId="0" fontId="6" fillId="70" borderId="21" xfId="396" applyFont="1" applyFill="1" applyBorder="1" applyAlignment="1">
      <alignment horizontal="center" vertical="center"/>
    </xf>
    <xf numFmtId="0" fontId="6" fillId="70" borderId="19" xfId="396" applyFont="1" applyFill="1" applyBorder="1" applyAlignment="1">
      <alignment horizontal="center" vertical="center"/>
    </xf>
    <xf numFmtId="0" fontId="6" fillId="70" borderId="10" xfId="396" applyFont="1" applyFill="1" applyBorder="1" applyAlignment="1">
      <alignment horizontal="center" vertical="center"/>
    </xf>
    <xf numFmtId="0" fontId="185" fillId="55" borderId="10" xfId="396" applyFont="1" applyFill="1" applyBorder="1" applyAlignment="1">
      <alignment horizontal="center" vertical="center" wrapText="1"/>
    </xf>
    <xf numFmtId="0" fontId="186" fillId="55" borderId="10" xfId="396" applyFont="1" applyFill="1" applyBorder="1" applyAlignment="1">
      <alignment horizontal="center" vertical="center"/>
    </xf>
    <xf numFmtId="0" fontId="186" fillId="70" borderId="21" xfId="396" applyFont="1" applyFill="1" applyBorder="1" applyAlignment="1">
      <alignment horizontal="center" vertical="center"/>
    </xf>
    <xf numFmtId="0" fontId="186" fillId="70" borderId="13" xfId="396" applyFont="1" applyFill="1" applyBorder="1" applyAlignment="1">
      <alignment horizontal="center" vertical="center"/>
    </xf>
    <xf numFmtId="0" fontId="186" fillId="70" borderId="19" xfId="396" applyFont="1" applyFill="1" applyBorder="1" applyAlignment="1">
      <alignment horizontal="center" vertical="center"/>
    </xf>
    <xf numFmtId="0" fontId="190" fillId="0" borderId="0" xfId="396" applyFont="1" applyAlignment="1">
      <alignment horizontal="center" vertical="center"/>
    </xf>
    <xf numFmtId="0" fontId="185" fillId="55" borderId="17" xfId="396" applyFont="1" applyFill="1" applyBorder="1" applyAlignment="1">
      <alignment horizontal="left" vertical="center"/>
    </xf>
    <xf numFmtId="0" fontId="6" fillId="0" borderId="10" xfId="396" applyFont="1" applyBorder="1" applyAlignment="1">
      <alignment horizontal="left" vertical="top" wrapText="1"/>
    </xf>
    <xf numFmtId="0" fontId="6" fillId="0" borderId="10" xfId="396" applyFont="1" applyBorder="1" applyAlignment="1">
      <alignment horizontal="left" vertical="center"/>
    </xf>
    <xf numFmtId="0" fontId="6" fillId="0" borderId="10" xfId="396" applyFont="1" applyBorder="1" applyAlignment="1">
      <alignment horizontal="left" vertical="center" wrapText="1"/>
    </xf>
    <xf numFmtId="0" fontId="41" fillId="0" borderId="10" xfId="396" applyFont="1" applyBorder="1" applyAlignment="1">
      <alignment horizontal="left" vertical="center" wrapText="1"/>
    </xf>
    <xf numFmtId="0" fontId="6" fillId="70" borderId="13" xfId="396" applyFont="1" applyFill="1" applyBorder="1" applyAlignment="1">
      <alignment horizontal="center" vertical="center"/>
    </xf>
    <xf numFmtId="2" fontId="6" fillId="70" borderId="10" xfId="396" applyNumberFormat="1" applyFont="1" applyFill="1" applyBorder="1" applyAlignment="1">
      <alignment horizontal="center" vertical="center"/>
    </xf>
    <xf numFmtId="0" fontId="203" fillId="0" borderId="194" xfId="396" applyFont="1" applyBorder="1" applyAlignment="1">
      <alignment horizontal="left" vertical="center"/>
    </xf>
    <xf numFmtId="0" fontId="203" fillId="0" borderId="195" xfId="396" applyFont="1" applyBorder="1" applyAlignment="1">
      <alignment horizontal="left" vertical="center"/>
    </xf>
    <xf numFmtId="0" fontId="203" fillId="0" borderId="192" xfId="396" applyFont="1" applyBorder="1" applyAlignment="1">
      <alignment horizontal="left" vertical="center"/>
    </xf>
    <xf numFmtId="0" fontId="203" fillId="0" borderId="193" xfId="396" applyFont="1" applyBorder="1" applyAlignment="1">
      <alignment horizontal="left" vertical="center"/>
    </xf>
    <xf numFmtId="0" fontId="203" fillId="0" borderId="192" xfId="396" applyFont="1" applyBorder="1" applyAlignment="1">
      <alignment vertical="center"/>
    </xf>
    <xf numFmtId="0" fontId="203" fillId="0" borderId="193" xfId="396" applyFont="1" applyBorder="1" applyAlignment="1">
      <alignment vertical="center"/>
    </xf>
    <xf numFmtId="0" fontId="208" fillId="52" borderId="192" xfId="396" applyFont="1" applyFill="1" applyBorder="1" applyAlignment="1">
      <alignment horizontal="center" vertical="center" wrapText="1"/>
    </xf>
    <xf numFmtId="0" fontId="208" fillId="52" borderId="39" xfId="396" applyFont="1" applyFill="1" applyBorder="1" applyAlignment="1">
      <alignment horizontal="center" vertical="center" wrapText="1"/>
    </xf>
    <xf numFmtId="0" fontId="208" fillId="52" borderId="193" xfId="396" applyFont="1" applyFill="1" applyBorder="1" applyAlignment="1">
      <alignment horizontal="center" vertical="center" wrapText="1"/>
    </xf>
    <xf numFmtId="0" fontId="203" fillId="0" borderId="194" xfId="396" applyFont="1" applyBorder="1" applyAlignment="1">
      <alignment horizontal="center" vertical="center"/>
    </xf>
    <xf numFmtId="0" fontId="203" fillId="0" borderId="196" xfId="396" applyFont="1" applyBorder="1" applyAlignment="1">
      <alignment horizontal="center" vertical="center"/>
    </xf>
    <xf numFmtId="0" fontId="203" fillId="0" borderId="195" xfId="396" applyFont="1" applyBorder="1" applyAlignment="1">
      <alignment horizontal="center" vertical="center"/>
    </xf>
    <xf numFmtId="0" fontId="205" fillId="0" borderId="0" xfId="396" applyFont="1" applyAlignment="1">
      <alignment horizontal="center"/>
    </xf>
    <xf numFmtId="0" fontId="203" fillId="70" borderId="137" xfId="396" applyFont="1" applyFill="1" applyBorder="1" applyAlignment="1" applyProtection="1">
      <alignment horizontal="left" vertical="center" indent="1"/>
      <protection locked="0"/>
    </xf>
    <xf numFmtId="0" fontId="207" fillId="52" borderId="137" xfId="396" applyFont="1" applyFill="1" applyBorder="1" applyAlignment="1" applyProtection="1">
      <alignment horizontal="left" vertical="center" indent="1"/>
      <protection locked="0"/>
    </xf>
    <xf numFmtId="0" fontId="6" fillId="55" borderId="192" xfId="396" applyFont="1" applyFill="1" applyBorder="1" applyAlignment="1">
      <alignment horizontal="center" vertical="center" wrapText="1"/>
    </xf>
    <xf numFmtId="0" fontId="6" fillId="55" borderId="193" xfId="396" applyFont="1" applyFill="1" applyBorder="1" applyAlignment="1">
      <alignment horizontal="center" vertical="center" wrapText="1"/>
    </xf>
    <xf numFmtId="0" fontId="6" fillId="55" borderId="148" xfId="396" applyFont="1" applyFill="1" applyBorder="1" applyAlignment="1">
      <alignment horizontal="center" vertical="center" wrapText="1"/>
    </xf>
    <xf numFmtId="0" fontId="6" fillId="55" borderId="0" xfId="396" applyFont="1" applyFill="1" applyAlignment="1">
      <alignment horizontal="center" vertical="center" wrapText="1"/>
    </xf>
    <xf numFmtId="0" fontId="6" fillId="55" borderId="17" xfId="396" applyFont="1" applyFill="1" applyBorder="1" applyAlignment="1">
      <alignment horizontal="center" vertical="center" wrapText="1"/>
    </xf>
    <xf numFmtId="0" fontId="6" fillId="55" borderId="18" xfId="396" applyFont="1" applyFill="1" applyBorder="1" applyAlignment="1">
      <alignment horizontal="center" vertical="center" wrapText="1"/>
    </xf>
    <xf numFmtId="0" fontId="6" fillId="55" borderId="197" xfId="396" applyFont="1" applyFill="1" applyBorder="1" applyAlignment="1">
      <alignment horizontal="center" vertical="center" wrapText="1"/>
    </xf>
    <xf numFmtId="0" fontId="6" fillId="55" borderId="198" xfId="396" applyFont="1" applyFill="1" applyBorder="1" applyAlignment="1">
      <alignment horizontal="center" vertical="center" wrapText="1"/>
    </xf>
    <xf numFmtId="0" fontId="185" fillId="55" borderId="137" xfId="396" applyFont="1" applyFill="1" applyBorder="1" applyAlignment="1">
      <alignment horizontal="left" vertical="center" wrapText="1"/>
    </xf>
    <xf numFmtId="0" fontId="6" fillId="55" borderId="137" xfId="396" applyFont="1" applyFill="1" applyBorder="1" applyAlignment="1">
      <alignment horizontal="center" vertical="center" wrapText="1"/>
    </xf>
    <xf numFmtId="0" fontId="6" fillId="55" borderId="21" xfId="396" applyFont="1" applyFill="1" applyBorder="1" applyAlignment="1">
      <alignment horizontal="center" vertical="center" wrapText="1"/>
    </xf>
    <xf numFmtId="0" fontId="6" fillId="55" borderId="19" xfId="396" applyFont="1" applyFill="1" applyBorder="1" applyAlignment="1">
      <alignment horizontal="center" vertical="center" wrapText="1"/>
    </xf>
  </cellXfs>
  <cellStyles count="398">
    <cellStyle name=" 1" xfId="1" xr:uid="{00000000-0005-0000-0000-000000000000}"/>
    <cellStyle name="_~1613671" xfId="2" xr:uid="{00000000-0005-0000-0000-000001000000}"/>
    <cellStyle name="_~1613671 2" xfId="3" xr:uid="{00000000-0005-0000-0000-000002000000}"/>
    <cellStyle name="_~1613671 3" xfId="4" xr:uid="{00000000-0005-0000-0000-000003000000}"/>
    <cellStyle name="_~1613671 4" xfId="5" xr:uid="{00000000-0005-0000-0000-000004000000}"/>
    <cellStyle name="_~7644457" xfId="6" xr:uid="{00000000-0005-0000-0000-000005000000}"/>
    <cellStyle name="_~7644457 2" xfId="7" xr:uid="{00000000-0005-0000-0000-000006000000}"/>
    <cellStyle name="_~7644457 3" xfId="8" xr:uid="{00000000-0005-0000-0000-000007000000}"/>
    <cellStyle name="_~7644457 4" xfId="9" xr:uid="{00000000-0005-0000-0000-000008000000}"/>
    <cellStyle name="_price_der_nov_раб" xfId="10" xr:uid="{00000000-0005-0000-0000-000009000000}"/>
    <cellStyle name="_price_der_nov_раб_~2260219" xfId="11" xr:uid="{00000000-0005-0000-0000-00000A000000}"/>
    <cellStyle name="_price_der_nov_раб_~2260219 2" xfId="12" xr:uid="{00000000-0005-0000-0000-00000B000000}"/>
    <cellStyle name="_price_der_nov_раб_~2260219_~2131575" xfId="13" xr:uid="{00000000-0005-0000-0000-00000C000000}"/>
    <cellStyle name="_price_der_nov_раб_~2260219_Decra" xfId="14" xr:uid="{00000000-0005-0000-0000-00000D000000}"/>
    <cellStyle name="_price_der_nov_раб_~2260219_Vilpe" xfId="15" xr:uid="{00000000-0005-0000-0000-00000E000000}"/>
    <cellStyle name="_price_der_nov_раб_~2260219_Дилерский прайс-лист 03.03.14 Единый+Q35" xfId="16" xr:uid="{00000000-0005-0000-0000-00000F000000}"/>
    <cellStyle name="_price_der_nov_раб_~2260219_Макет временных" xfId="17" xr:uid="{00000000-0005-0000-0000-000010000000}"/>
    <cellStyle name="_price_der_nov_раб_~2260219_Прайс полный ассортимент Центр от 09.07" xfId="18" xr:uid="{00000000-0005-0000-0000-000011000000}"/>
    <cellStyle name="_price_der_nov_раб_~2260219_Розничный прайс-лист 03.03.14" xfId="19" xr:uid="{00000000-0005-0000-0000-000012000000}"/>
    <cellStyle name="_price_der_nov_раб_~2260219_Розничный прайс-лист 07.04.14" xfId="20" xr:uid="{00000000-0005-0000-0000-000013000000}"/>
    <cellStyle name="_price_der_nov_раб_~2260219_Цокольные панели Ванштайн" xfId="21" xr:uid="{00000000-0005-0000-0000-000014000000}"/>
    <cellStyle name="_price_der_nov_раб_~2260219_Цокольные панели Ванштайн 2" xfId="22" xr:uid="{00000000-0005-0000-0000-000015000000}"/>
    <cellStyle name="_price_der_nov_раб_~6447645" xfId="23" xr:uid="{00000000-0005-0000-0000-000016000000}"/>
    <cellStyle name="_price_der_nov_раб_GL розничный прайс Краснодар - 03.09.12" xfId="24" xr:uid="{00000000-0005-0000-0000-000017000000}"/>
    <cellStyle name="_price_der_nov_раб_дилерский прайс - лист 17.02.12 ПИТЕР" xfId="25" xr:uid="{00000000-0005-0000-0000-000018000000}"/>
    <cellStyle name="_price_der_nov_раб_дилерский прайс - лист 18.04.12" xfId="26" xr:uid="{00000000-0005-0000-0000-000019000000}"/>
    <cellStyle name="_price_der_nov_раб_Прайс для Краснодара 2" xfId="27" xr:uid="{00000000-0005-0000-0000-00001A000000}"/>
    <cellStyle name="_price_der_nov_раб_Прайс полный ассортимент 22.12.2010  Центр" xfId="28" xr:uid="{00000000-0005-0000-0000-00001B000000}"/>
    <cellStyle name="_price_der_nov_раб_Прайс полный ассортимент от 06.02.12 Одинцово" xfId="29" xr:uid="{00000000-0005-0000-0000-00001C000000}"/>
    <cellStyle name="_price_der_nov_раб_Прайс полный ассортимент от 06.02.12 Центр" xfId="30" xr:uid="{00000000-0005-0000-0000-00001D000000}"/>
    <cellStyle name="_price_der_nov_раб_Прайс полный ассортимент от 19.10.2011 Центр" xfId="31" xr:uid="{00000000-0005-0000-0000-00001E000000}"/>
    <cellStyle name="_price_der_nov_раб_Прайс полный ассортимент СПБ  от 22.08.12 Ворота + фигурный профнастил" xfId="32" xr:uid="{00000000-0005-0000-0000-00001F000000}"/>
    <cellStyle name="_price_der_nov_раб_Прайс полный ассортимент Центр от 01.06.12" xfId="33" xr:uid="{00000000-0005-0000-0000-000020000000}"/>
    <cellStyle name="_price_der_nov_раб_Прайс полный ассортимент Центр от 06.08.12" xfId="34" xr:uid="{00000000-0005-0000-0000-000021000000}"/>
    <cellStyle name="_price_der_nov_раб_Прайс полный ассортимент Центр от 22.08.12 Ворота + фигурный профнастил" xfId="35" xr:uid="{00000000-0005-0000-0000-000022000000}"/>
    <cellStyle name="_price_der_nov_раб_Прайс полный ассортимент Центр от 29.06.12" xfId="36" xr:uid="{00000000-0005-0000-0000-000023000000}"/>
    <cellStyle name="_Книга2" xfId="37" xr:uid="{00000000-0005-0000-0000-000024000000}"/>
    <cellStyle name="_Книга2 2" xfId="38" xr:uid="{00000000-0005-0000-0000-000025000000}"/>
    <cellStyle name="_Книга2 3" xfId="39" xr:uid="{00000000-0005-0000-0000-000026000000}"/>
    <cellStyle name="_Книга2 4" xfId="40" xr:uid="{00000000-0005-0000-0000-000027000000}"/>
    <cellStyle name="_лестницы" xfId="41" xr:uid="{00000000-0005-0000-0000-000028000000}"/>
    <cellStyle name="_лестницы 2" xfId="42" xr:uid="{00000000-0005-0000-0000-000029000000}"/>
    <cellStyle name="_лестницы 3" xfId="43" xr:uid="{00000000-0005-0000-0000-00002A000000}"/>
    <cellStyle name="_лестницы 4" xfId="44" xr:uid="{00000000-0005-0000-0000-00002B000000}"/>
    <cellStyle name="_прайс-лист розница" xfId="45" xr:uid="{00000000-0005-0000-0000-00002C000000}"/>
    <cellStyle name="_прайс-лист розница 2" xfId="46" xr:uid="{00000000-0005-0000-0000-00002D000000}"/>
    <cellStyle name="_прайс-лист розница 3" xfId="47" xr:uid="{00000000-0005-0000-0000-00002E000000}"/>
    <cellStyle name="_прайс-лист розница 4" xfId="48" xr:uid="{00000000-0005-0000-0000-00002F000000}"/>
    <cellStyle name="-15-1976" xfId="49" xr:uid="{00000000-0005-0000-0000-000030000000}"/>
    <cellStyle name="-15-1976 2" xfId="50" xr:uid="{00000000-0005-0000-0000-000031000000}"/>
    <cellStyle name="-15-1976 3" xfId="51" xr:uid="{00000000-0005-0000-0000-000032000000}"/>
    <cellStyle name="-15-1976 4" xfId="52" xr:uid="{00000000-0005-0000-0000-000033000000}"/>
    <cellStyle name="20% - Акцент1 2" xfId="53" xr:uid="{00000000-0005-0000-0000-000034000000}"/>
    <cellStyle name="20% - Акцент1 2 2" xfId="54" xr:uid="{00000000-0005-0000-0000-000035000000}"/>
    <cellStyle name="20% - Акцент1 2 3" xfId="55" xr:uid="{00000000-0005-0000-0000-000036000000}"/>
    <cellStyle name="20% - Акцент1 2 4" xfId="56" xr:uid="{00000000-0005-0000-0000-000037000000}"/>
    <cellStyle name="20% - Акцент1 3" xfId="57" xr:uid="{00000000-0005-0000-0000-000038000000}"/>
    <cellStyle name="20% - Акцент2 2" xfId="58" xr:uid="{00000000-0005-0000-0000-000039000000}"/>
    <cellStyle name="20% - Акцент2 2 2" xfId="59" xr:uid="{00000000-0005-0000-0000-00003A000000}"/>
    <cellStyle name="20% - Акцент2 2 3" xfId="60" xr:uid="{00000000-0005-0000-0000-00003B000000}"/>
    <cellStyle name="20% - Акцент2 2 4" xfId="61" xr:uid="{00000000-0005-0000-0000-00003C000000}"/>
    <cellStyle name="20% - Акцент2 3" xfId="62" xr:uid="{00000000-0005-0000-0000-00003D000000}"/>
    <cellStyle name="20% - Акцент3 2" xfId="63" xr:uid="{00000000-0005-0000-0000-00003E000000}"/>
    <cellStyle name="20% - Акцент3 2 2" xfId="64" xr:uid="{00000000-0005-0000-0000-00003F000000}"/>
    <cellStyle name="20% - Акцент3 2 3" xfId="65" xr:uid="{00000000-0005-0000-0000-000040000000}"/>
    <cellStyle name="20% - Акцент3 2 4" xfId="66" xr:uid="{00000000-0005-0000-0000-000041000000}"/>
    <cellStyle name="20% - Акцент3 3" xfId="67" xr:uid="{00000000-0005-0000-0000-000042000000}"/>
    <cellStyle name="20% - Акцент4 2" xfId="68" xr:uid="{00000000-0005-0000-0000-000043000000}"/>
    <cellStyle name="20% - Акцент4 2 2" xfId="69" xr:uid="{00000000-0005-0000-0000-000044000000}"/>
    <cellStyle name="20% - Акцент4 2 3" xfId="70" xr:uid="{00000000-0005-0000-0000-000045000000}"/>
    <cellStyle name="20% - Акцент4 2 4" xfId="71" xr:uid="{00000000-0005-0000-0000-000046000000}"/>
    <cellStyle name="20% - Акцент4 3" xfId="72" xr:uid="{00000000-0005-0000-0000-000047000000}"/>
    <cellStyle name="20% - Акцент5 2" xfId="73" xr:uid="{00000000-0005-0000-0000-000048000000}"/>
    <cellStyle name="20% - Акцент5 2 2" xfId="74" xr:uid="{00000000-0005-0000-0000-000049000000}"/>
    <cellStyle name="20% - Акцент5 2 3" xfId="75" xr:uid="{00000000-0005-0000-0000-00004A000000}"/>
    <cellStyle name="20% - Акцент5 2 4" xfId="76" xr:uid="{00000000-0005-0000-0000-00004B000000}"/>
    <cellStyle name="20% - Акцент5 3" xfId="77" xr:uid="{00000000-0005-0000-0000-00004C000000}"/>
    <cellStyle name="20% - Акцент6 2" xfId="78" xr:uid="{00000000-0005-0000-0000-00004D000000}"/>
    <cellStyle name="20% - Акцент6 2 2" xfId="79" xr:uid="{00000000-0005-0000-0000-00004E000000}"/>
    <cellStyle name="20% - Акцент6 2 3" xfId="80" xr:uid="{00000000-0005-0000-0000-00004F000000}"/>
    <cellStyle name="20% - Акцент6 2 4" xfId="81" xr:uid="{00000000-0005-0000-0000-000050000000}"/>
    <cellStyle name="20% - Акцент6 3" xfId="82" xr:uid="{00000000-0005-0000-0000-000051000000}"/>
    <cellStyle name="40% - Акцент1 2" xfId="83" xr:uid="{00000000-0005-0000-0000-000052000000}"/>
    <cellStyle name="40% - Акцент1 2 2" xfId="84" xr:uid="{00000000-0005-0000-0000-000053000000}"/>
    <cellStyle name="40% - Акцент1 2 3" xfId="85" xr:uid="{00000000-0005-0000-0000-000054000000}"/>
    <cellStyle name="40% - Акцент1 2 4" xfId="86" xr:uid="{00000000-0005-0000-0000-000055000000}"/>
    <cellStyle name="40% - Акцент1 3" xfId="87" xr:uid="{00000000-0005-0000-0000-000056000000}"/>
    <cellStyle name="40% - Акцент2 2" xfId="88" xr:uid="{00000000-0005-0000-0000-000057000000}"/>
    <cellStyle name="40% - Акцент2 2 2" xfId="89" xr:uid="{00000000-0005-0000-0000-000058000000}"/>
    <cellStyle name="40% - Акцент2 2 3" xfId="90" xr:uid="{00000000-0005-0000-0000-000059000000}"/>
    <cellStyle name="40% - Акцент2 2 4" xfId="91" xr:uid="{00000000-0005-0000-0000-00005A000000}"/>
    <cellStyle name="40% - Акцент2 3" xfId="92" xr:uid="{00000000-0005-0000-0000-00005B000000}"/>
    <cellStyle name="40% - Акцент3 2" xfId="93" xr:uid="{00000000-0005-0000-0000-00005C000000}"/>
    <cellStyle name="40% - Акцент3 2 2" xfId="94" xr:uid="{00000000-0005-0000-0000-00005D000000}"/>
    <cellStyle name="40% - Акцент3 2 3" xfId="95" xr:uid="{00000000-0005-0000-0000-00005E000000}"/>
    <cellStyle name="40% - Акцент3 2 4" xfId="96" xr:uid="{00000000-0005-0000-0000-00005F000000}"/>
    <cellStyle name="40% - Акцент3 3" xfId="97" xr:uid="{00000000-0005-0000-0000-000060000000}"/>
    <cellStyle name="40% - Акцент4 2" xfId="98" xr:uid="{00000000-0005-0000-0000-000061000000}"/>
    <cellStyle name="40% - Акцент4 2 2" xfId="99" xr:uid="{00000000-0005-0000-0000-000062000000}"/>
    <cellStyle name="40% - Акцент4 2 3" xfId="100" xr:uid="{00000000-0005-0000-0000-000063000000}"/>
    <cellStyle name="40% - Акцент4 2 4" xfId="101" xr:uid="{00000000-0005-0000-0000-000064000000}"/>
    <cellStyle name="40% - Акцент4 3" xfId="102" xr:uid="{00000000-0005-0000-0000-000065000000}"/>
    <cellStyle name="40% - Акцент5 2" xfId="103" xr:uid="{00000000-0005-0000-0000-000066000000}"/>
    <cellStyle name="40% - Акцент5 2 2" xfId="104" xr:uid="{00000000-0005-0000-0000-000067000000}"/>
    <cellStyle name="40% - Акцент5 2 3" xfId="105" xr:uid="{00000000-0005-0000-0000-000068000000}"/>
    <cellStyle name="40% - Акцент5 2 4" xfId="106" xr:uid="{00000000-0005-0000-0000-000069000000}"/>
    <cellStyle name="40% - Акцент5 3" xfId="107" xr:uid="{00000000-0005-0000-0000-00006A000000}"/>
    <cellStyle name="40% - Акцент6 2" xfId="108" xr:uid="{00000000-0005-0000-0000-00006B000000}"/>
    <cellStyle name="40% - Акцент6 2 2" xfId="109" xr:uid="{00000000-0005-0000-0000-00006C000000}"/>
    <cellStyle name="40% - Акцент6 2 3" xfId="110" xr:uid="{00000000-0005-0000-0000-00006D000000}"/>
    <cellStyle name="40% - Акцент6 2 4" xfId="111" xr:uid="{00000000-0005-0000-0000-00006E000000}"/>
    <cellStyle name="40% - Акцент6 3" xfId="112" xr:uid="{00000000-0005-0000-0000-00006F000000}"/>
    <cellStyle name="60% - Акцент1 2" xfId="113" xr:uid="{00000000-0005-0000-0000-000070000000}"/>
    <cellStyle name="60% - Акцент1 2 2" xfId="114" xr:uid="{00000000-0005-0000-0000-000071000000}"/>
    <cellStyle name="60% - Акцент1 2 3" xfId="115" xr:uid="{00000000-0005-0000-0000-000072000000}"/>
    <cellStyle name="60% - Акцент1 2 4" xfId="116" xr:uid="{00000000-0005-0000-0000-000073000000}"/>
    <cellStyle name="60% - Акцент1 3" xfId="117" xr:uid="{00000000-0005-0000-0000-000074000000}"/>
    <cellStyle name="60% - Акцент2 2" xfId="118" xr:uid="{00000000-0005-0000-0000-000075000000}"/>
    <cellStyle name="60% - Акцент2 2 2" xfId="119" xr:uid="{00000000-0005-0000-0000-000076000000}"/>
    <cellStyle name="60% - Акцент2 2 3" xfId="120" xr:uid="{00000000-0005-0000-0000-000077000000}"/>
    <cellStyle name="60% - Акцент2 2 4" xfId="121" xr:uid="{00000000-0005-0000-0000-000078000000}"/>
    <cellStyle name="60% - Акцент2 3" xfId="122" xr:uid="{00000000-0005-0000-0000-000079000000}"/>
    <cellStyle name="60% - Акцент3 2" xfId="123" xr:uid="{00000000-0005-0000-0000-00007A000000}"/>
    <cellStyle name="60% - Акцент3 2 2" xfId="124" xr:uid="{00000000-0005-0000-0000-00007B000000}"/>
    <cellStyle name="60% - Акцент3 2 3" xfId="125" xr:uid="{00000000-0005-0000-0000-00007C000000}"/>
    <cellStyle name="60% - Акцент3 2 4" xfId="126" xr:uid="{00000000-0005-0000-0000-00007D000000}"/>
    <cellStyle name="60% - Акцент3 3" xfId="127" xr:uid="{00000000-0005-0000-0000-00007E000000}"/>
    <cellStyle name="60% - Акцент4 2" xfId="128" xr:uid="{00000000-0005-0000-0000-00007F000000}"/>
    <cellStyle name="60% - Акцент4 2 2" xfId="129" xr:uid="{00000000-0005-0000-0000-000080000000}"/>
    <cellStyle name="60% - Акцент4 2 3" xfId="130" xr:uid="{00000000-0005-0000-0000-000081000000}"/>
    <cellStyle name="60% - Акцент4 2 4" xfId="131" xr:uid="{00000000-0005-0000-0000-000082000000}"/>
    <cellStyle name="60% - Акцент4 3" xfId="132" xr:uid="{00000000-0005-0000-0000-000083000000}"/>
    <cellStyle name="60% - Акцент5 2" xfId="133" xr:uid="{00000000-0005-0000-0000-000084000000}"/>
    <cellStyle name="60% - Акцент5 2 2" xfId="134" xr:uid="{00000000-0005-0000-0000-000085000000}"/>
    <cellStyle name="60% - Акцент5 2 3" xfId="135" xr:uid="{00000000-0005-0000-0000-000086000000}"/>
    <cellStyle name="60% - Акцент5 2 4" xfId="136" xr:uid="{00000000-0005-0000-0000-000087000000}"/>
    <cellStyle name="60% - Акцент5 3" xfId="137" xr:uid="{00000000-0005-0000-0000-000088000000}"/>
    <cellStyle name="60% - Акцент6 2" xfId="138" xr:uid="{00000000-0005-0000-0000-000089000000}"/>
    <cellStyle name="60% - Акцент6 2 2" xfId="139" xr:uid="{00000000-0005-0000-0000-00008A000000}"/>
    <cellStyle name="60% - Акцент6 2 3" xfId="140" xr:uid="{00000000-0005-0000-0000-00008B000000}"/>
    <cellStyle name="60% - Акцент6 2 4" xfId="141" xr:uid="{00000000-0005-0000-0000-00008C000000}"/>
    <cellStyle name="60% - Акцент6 3" xfId="142" xr:uid="{00000000-0005-0000-0000-00008D000000}"/>
    <cellStyle name="Euro" xfId="143" xr:uid="{00000000-0005-0000-0000-00008E000000}"/>
    <cellStyle name="Euro 2" xfId="144" xr:uid="{00000000-0005-0000-0000-00008F000000}"/>
    <cellStyle name="Euro 3" xfId="145" xr:uid="{00000000-0005-0000-0000-000090000000}"/>
    <cellStyle name="Euro 4" xfId="146" xr:uid="{00000000-0005-0000-0000-000091000000}"/>
    <cellStyle name="Excel Built-in Normal" xfId="147" xr:uid="{00000000-0005-0000-0000-000092000000}"/>
    <cellStyle name="Normal 2" xfId="148" xr:uid="{00000000-0005-0000-0000-000093000000}"/>
    <cellStyle name="Normal_Sheet1" xfId="149" xr:uid="{00000000-0005-0000-0000-000094000000}"/>
    <cellStyle name="Standaard 10" xfId="150" xr:uid="{00000000-0005-0000-0000-000095000000}"/>
    <cellStyle name="Standaard 10 2" xfId="151" xr:uid="{00000000-0005-0000-0000-000096000000}"/>
    <cellStyle name="Standaard 10 3" xfId="152" xr:uid="{00000000-0005-0000-0000-000097000000}"/>
    <cellStyle name="Standaard 10 4" xfId="153" xr:uid="{00000000-0005-0000-0000-000098000000}"/>
    <cellStyle name="Standaard 11" xfId="154" xr:uid="{00000000-0005-0000-0000-000099000000}"/>
    <cellStyle name="Standaard 11 2" xfId="155" xr:uid="{00000000-0005-0000-0000-00009A000000}"/>
    <cellStyle name="Standaard 11 3" xfId="156" xr:uid="{00000000-0005-0000-0000-00009B000000}"/>
    <cellStyle name="Standaard 11 4" xfId="157" xr:uid="{00000000-0005-0000-0000-00009C000000}"/>
    <cellStyle name="Standaard 12" xfId="158" xr:uid="{00000000-0005-0000-0000-00009D000000}"/>
    <cellStyle name="Standaard 12 2" xfId="159" xr:uid="{00000000-0005-0000-0000-00009E000000}"/>
    <cellStyle name="Standaard 12 3" xfId="160" xr:uid="{00000000-0005-0000-0000-00009F000000}"/>
    <cellStyle name="Standaard 12 4" xfId="161" xr:uid="{00000000-0005-0000-0000-0000A0000000}"/>
    <cellStyle name="Standaard 2" xfId="162" xr:uid="{00000000-0005-0000-0000-0000A1000000}"/>
    <cellStyle name="Standaard 2 2" xfId="163" xr:uid="{00000000-0005-0000-0000-0000A2000000}"/>
    <cellStyle name="Standaard 2 3" xfId="164" xr:uid="{00000000-0005-0000-0000-0000A3000000}"/>
    <cellStyle name="Standaard 2 4" xfId="165" xr:uid="{00000000-0005-0000-0000-0000A4000000}"/>
    <cellStyle name="Standaard 3" xfId="166" xr:uid="{00000000-0005-0000-0000-0000A5000000}"/>
    <cellStyle name="Standaard 3 2" xfId="167" xr:uid="{00000000-0005-0000-0000-0000A6000000}"/>
    <cellStyle name="Standaard 3 3" xfId="168" xr:uid="{00000000-0005-0000-0000-0000A7000000}"/>
    <cellStyle name="Standaard 3 4" xfId="169" xr:uid="{00000000-0005-0000-0000-0000A8000000}"/>
    <cellStyle name="Standaard 4" xfId="170" xr:uid="{00000000-0005-0000-0000-0000A9000000}"/>
    <cellStyle name="Standaard 4 2" xfId="171" xr:uid="{00000000-0005-0000-0000-0000AA000000}"/>
    <cellStyle name="Standaard 4 3" xfId="172" xr:uid="{00000000-0005-0000-0000-0000AB000000}"/>
    <cellStyle name="Standaard 4 4" xfId="173" xr:uid="{00000000-0005-0000-0000-0000AC000000}"/>
    <cellStyle name="Standaard 5" xfId="174" xr:uid="{00000000-0005-0000-0000-0000AD000000}"/>
    <cellStyle name="Standaard 5 2" xfId="175" xr:uid="{00000000-0005-0000-0000-0000AE000000}"/>
    <cellStyle name="Standaard 5 3" xfId="176" xr:uid="{00000000-0005-0000-0000-0000AF000000}"/>
    <cellStyle name="Standaard 5 4" xfId="177" xr:uid="{00000000-0005-0000-0000-0000B0000000}"/>
    <cellStyle name="Standaard 6" xfId="178" xr:uid="{00000000-0005-0000-0000-0000B1000000}"/>
    <cellStyle name="Standaard 6 2" xfId="179" xr:uid="{00000000-0005-0000-0000-0000B2000000}"/>
    <cellStyle name="Standaard 6 3" xfId="180" xr:uid="{00000000-0005-0000-0000-0000B3000000}"/>
    <cellStyle name="Standaard 6 4" xfId="181" xr:uid="{00000000-0005-0000-0000-0000B4000000}"/>
    <cellStyle name="Standaard 7" xfId="182" xr:uid="{00000000-0005-0000-0000-0000B5000000}"/>
    <cellStyle name="Standaard 7 2" xfId="183" xr:uid="{00000000-0005-0000-0000-0000B6000000}"/>
    <cellStyle name="Standaard 7 3" xfId="184" xr:uid="{00000000-0005-0000-0000-0000B7000000}"/>
    <cellStyle name="Standaard 7 4" xfId="185" xr:uid="{00000000-0005-0000-0000-0000B8000000}"/>
    <cellStyle name="Standaard 8" xfId="186" xr:uid="{00000000-0005-0000-0000-0000B9000000}"/>
    <cellStyle name="Standaard 8 2" xfId="187" xr:uid="{00000000-0005-0000-0000-0000BA000000}"/>
    <cellStyle name="Standaard 8 3" xfId="188" xr:uid="{00000000-0005-0000-0000-0000BB000000}"/>
    <cellStyle name="Standaard 8 4" xfId="189" xr:uid="{00000000-0005-0000-0000-0000BC000000}"/>
    <cellStyle name="Standaard 9" xfId="190" xr:uid="{00000000-0005-0000-0000-0000BD000000}"/>
    <cellStyle name="Standaard 9 2" xfId="191" xr:uid="{00000000-0005-0000-0000-0000BE000000}"/>
    <cellStyle name="Standaard 9 3" xfId="192" xr:uid="{00000000-0005-0000-0000-0000BF000000}"/>
    <cellStyle name="Standaard 9 4" xfId="193" xr:uid="{00000000-0005-0000-0000-0000C0000000}"/>
    <cellStyle name="Акцент1" xfId="194" builtinId="29" customBuiltin="1"/>
    <cellStyle name="Акцент1 2" xfId="195" xr:uid="{00000000-0005-0000-0000-0000C2000000}"/>
    <cellStyle name="Акцент1 2 2" xfId="196" xr:uid="{00000000-0005-0000-0000-0000C3000000}"/>
    <cellStyle name="Акцент1 2 3" xfId="197" xr:uid="{00000000-0005-0000-0000-0000C4000000}"/>
    <cellStyle name="Акцент1 2 4" xfId="198" xr:uid="{00000000-0005-0000-0000-0000C5000000}"/>
    <cellStyle name="Акцент1 3" xfId="199" xr:uid="{00000000-0005-0000-0000-0000C6000000}"/>
    <cellStyle name="Акцент2" xfId="200" builtinId="33" customBuiltin="1"/>
    <cellStyle name="Акцент2 2" xfId="201" xr:uid="{00000000-0005-0000-0000-0000C8000000}"/>
    <cellStyle name="Акцент2 2 2" xfId="202" xr:uid="{00000000-0005-0000-0000-0000C9000000}"/>
    <cellStyle name="Акцент2 2 3" xfId="203" xr:uid="{00000000-0005-0000-0000-0000CA000000}"/>
    <cellStyle name="Акцент2 2 4" xfId="204" xr:uid="{00000000-0005-0000-0000-0000CB000000}"/>
    <cellStyle name="Акцент2 3" xfId="205" xr:uid="{00000000-0005-0000-0000-0000CC000000}"/>
    <cellStyle name="Акцент3" xfId="206" builtinId="37" customBuiltin="1"/>
    <cellStyle name="Акцент3 2" xfId="207" xr:uid="{00000000-0005-0000-0000-0000CE000000}"/>
    <cellStyle name="Акцент3 2 2" xfId="208" xr:uid="{00000000-0005-0000-0000-0000CF000000}"/>
    <cellStyle name="Акцент3 2 3" xfId="209" xr:uid="{00000000-0005-0000-0000-0000D0000000}"/>
    <cellStyle name="Акцент3 2 4" xfId="210" xr:uid="{00000000-0005-0000-0000-0000D1000000}"/>
    <cellStyle name="Акцент3 3" xfId="211" xr:uid="{00000000-0005-0000-0000-0000D2000000}"/>
    <cellStyle name="Акцент4" xfId="212" builtinId="41" customBuiltin="1"/>
    <cellStyle name="Акцент4 2" xfId="213" xr:uid="{00000000-0005-0000-0000-0000D4000000}"/>
    <cellStyle name="Акцент4 2 2" xfId="214" xr:uid="{00000000-0005-0000-0000-0000D5000000}"/>
    <cellStyle name="Акцент4 2 3" xfId="215" xr:uid="{00000000-0005-0000-0000-0000D6000000}"/>
    <cellStyle name="Акцент4 2 4" xfId="216" xr:uid="{00000000-0005-0000-0000-0000D7000000}"/>
    <cellStyle name="Акцент4 3" xfId="217" xr:uid="{00000000-0005-0000-0000-0000D8000000}"/>
    <cellStyle name="Акцент5" xfId="218" builtinId="45" customBuiltin="1"/>
    <cellStyle name="Акцент5 2" xfId="219" xr:uid="{00000000-0005-0000-0000-0000DA000000}"/>
    <cellStyle name="Акцент5 2 2" xfId="220" xr:uid="{00000000-0005-0000-0000-0000DB000000}"/>
    <cellStyle name="Акцент5 2 3" xfId="221" xr:uid="{00000000-0005-0000-0000-0000DC000000}"/>
    <cellStyle name="Акцент5 2 4" xfId="222" xr:uid="{00000000-0005-0000-0000-0000DD000000}"/>
    <cellStyle name="Акцент5 3" xfId="223" xr:uid="{00000000-0005-0000-0000-0000DE000000}"/>
    <cellStyle name="Акцент6" xfId="224" builtinId="49" customBuiltin="1"/>
    <cellStyle name="Акцент6 2" xfId="225" xr:uid="{00000000-0005-0000-0000-0000E0000000}"/>
    <cellStyle name="Акцент6 2 2" xfId="226" xr:uid="{00000000-0005-0000-0000-0000E1000000}"/>
    <cellStyle name="Акцент6 2 3" xfId="227" xr:uid="{00000000-0005-0000-0000-0000E2000000}"/>
    <cellStyle name="Акцент6 2 4" xfId="228" xr:uid="{00000000-0005-0000-0000-0000E3000000}"/>
    <cellStyle name="Акцент6 3" xfId="229" xr:uid="{00000000-0005-0000-0000-0000E4000000}"/>
    <cellStyle name="Ввод " xfId="230" builtinId="20" customBuiltin="1"/>
    <cellStyle name="Ввод  2" xfId="231" xr:uid="{00000000-0005-0000-0000-0000E6000000}"/>
    <cellStyle name="Ввод  2 2" xfId="232" xr:uid="{00000000-0005-0000-0000-0000E7000000}"/>
    <cellStyle name="Ввод  2 3" xfId="233" xr:uid="{00000000-0005-0000-0000-0000E8000000}"/>
    <cellStyle name="Ввод  2 4" xfId="234" xr:uid="{00000000-0005-0000-0000-0000E9000000}"/>
    <cellStyle name="Ввод  3" xfId="235" xr:uid="{00000000-0005-0000-0000-0000EA000000}"/>
    <cellStyle name="Вывод" xfId="236" builtinId="21" customBuiltin="1"/>
    <cellStyle name="Вывод 2" xfId="237" xr:uid="{00000000-0005-0000-0000-0000EC000000}"/>
    <cellStyle name="Вывод 2 2" xfId="238" xr:uid="{00000000-0005-0000-0000-0000ED000000}"/>
    <cellStyle name="Вывод 2 3" xfId="239" xr:uid="{00000000-0005-0000-0000-0000EE000000}"/>
    <cellStyle name="Вывод 2 4" xfId="240" xr:uid="{00000000-0005-0000-0000-0000EF000000}"/>
    <cellStyle name="Вывод 3" xfId="241" xr:uid="{00000000-0005-0000-0000-0000F0000000}"/>
    <cellStyle name="Вычисление" xfId="242" builtinId="22" customBuiltin="1"/>
    <cellStyle name="Вычисление 2" xfId="243" xr:uid="{00000000-0005-0000-0000-0000F2000000}"/>
    <cellStyle name="Вычисление 2 2" xfId="244" xr:uid="{00000000-0005-0000-0000-0000F3000000}"/>
    <cellStyle name="Вычисление 2 3" xfId="245" xr:uid="{00000000-0005-0000-0000-0000F4000000}"/>
    <cellStyle name="Вычисление 2 4" xfId="246" xr:uid="{00000000-0005-0000-0000-0000F5000000}"/>
    <cellStyle name="Вычисление 3" xfId="247" xr:uid="{00000000-0005-0000-0000-0000F6000000}"/>
    <cellStyle name="Гиперссылка" xfId="248" builtinId="8"/>
    <cellStyle name="Гиперссылка 2" xfId="249" xr:uid="{00000000-0005-0000-0000-0000F8000000}"/>
    <cellStyle name="Гиперссылка 3" xfId="250" xr:uid="{00000000-0005-0000-0000-0000F9000000}"/>
    <cellStyle name="Денежный 2" xfId="251" xr:uid="{00000000-0005-0000-0000-0000FA000000}"/>
    <cellStyle name="Заголовок 1" xfId="252" builtinId="16" customBuiltin="1"/>
    <cellStyle name="Заголовок 1 2" xfId="253" xr:uid="{00000000-0005-0000-0000-0000FC000000}"/>
    <cellStyle name="Заголовок 1 3" xfId="254" xr:uid="{00000000-0005-0000-0000-0000FD000000}"/>
    <cellStyle name="Заголовок 2" xfId="255" builtinId="17" customBuiltin="1"/>
    <cellStyle name="Заголовок 2 2" xfId="256" xr:uid="{00000000-0005-0000-0000-0000FF000000}"/>
    <cellStyle name="Заголовок 2 3" xfId="257" xr:uid="{00000000-0005-0000-0000-000000010000}"/>
    <cellStyle name="Заголовок 3" xfId="258" builtinId="18" customBuiltin="1"/>
    <cellStyle name="Заголовок 3 2" xfId="259" xr:uid="{00000000-0005-0000-0000-000002010000}"/>
    <cellStyle name="Заголовок 3 3" xfId="260" xr:uid="{00000000-0005-0000-0000-000003010000}"/>
    <cellStyle name="Заголовок 4" xfId="261" builtinId="19" customBuiltin="1"/>
    <cellStyle name="Заголовок 4 2" xfId="262" xr:uid="{00000000-0005-0000-0000-000005010000}"/>
    <cellStyle name="Заголовок 4 3" xfId="263" xr:uid="{00000000-0005-0000-0000-000006010000}"/>
    <cellStyle name="Заголовок сводной таблицы" xfId="264" xr:uid="{00000000-0005-0000-0000-000007010000}"/>
    <cellStyle name="Итог" xfId="265" builtinId="25" customBuiltin="1"/>
    <cellStyle name="Итог 2" xfId="266" xr:uid="{00000000-0005-0000-0000-000009010000}"/>
    <cellStyle name="Итог 3" xfId="267" xr:uid="{00000000-0005-0000-0000-00000A010000}"/>
    <cellStyle name="Категория сводной таблицы" xfId="268" xr:uid="{00000000-0005-0000-0000-00000B010000}"/>
    <cellStyle name="Контрольная ячейка" xfId="269" builtinId="23" customBuiltin="1"/>
    <cellStyle name="Контрольная ячейка 2" xfId="270" xr:uid="{00000000-0005-0000-0000-00000D010000}"/>
    <cellStyle name="Контрольная ячейка 2 2" xfId="271" xr:uid="{00000000-0005-0000-0000-00000E010000}"/>
    <cellStyle name="Контрольная ячейка 2 3" xfId="272" xr:uid="{00000000-0005-0000-0000-00000F010000}"/>
    <cellStyle name="Контрольная ячейка 2 4" xfId="273" xr:uid="{00000000-0005-0000-0000-000010010000}"/>
    <cellStyle name="Контрольная ячейка 3" xfId="274" xr:uid="{00000000-0005-0000-0000-000011010000}"/>
    <cellStyle name="Название" xfId="275" builtinId="15" customBuiltin="1"/>
    <cellStyle name="Название 2" xfId="276" xr:uid="{00000000-0005-0000-0000-000013010000}"/>
    <cellStyle name="Название 3" xfId="277" xr:uid="{00000000-0005-0000-0000-000014010000}"/>
    <cellStyle name="Нейтральный" xfId="278" builtinId="28" customBuiltin="1"/>
    <cellStyle name="Нейтральный 2" xfId="279" xr:uid="{00000000-0005-0000-0000-000016010000}"/>
    <cellStyle name="Нейтральный 2 2" xfId="280" xr:uid="{00000000-0005-0000-0000-000017010000}"/>
    <cellStyle name="Нейтральный 2 3" xfId="281" xr:uid="{00000000-0005-0000-0000-000018010000}"/>
    <cellStyle name="Нейтральный 2 4" xfId="282" xr:uid="{00000000-0005-0000-0000-000019010000}"/>
    <cellStyle name="Нейтральный 3" xfId="283" xr:uid="{00000000-0005-0000-0000-00001A010000}"/>
    <cellStyle name="Обычный" xfId="0" builtinId="0"/>
    <cellStyle name="Обычный 10" xfId="284" xr:uid="{00000000-0005-0000-0000-00001C010000}"/>
    <cellStyle name="Обычный 10 2" xfId="285" xr:uid="{00000000-0005-0000-0000-00001D010000}"/>
    <cellStyle name="Обычный 11" xfId="286" xr:uid="{00000000-0005-0000-0000-00001E010000}"/>
    <cellStyle name="Обычный 11 2" xfId="287" xr:uid="{00000000-0005-0000-0000-00001F010000}"/>
    <cellStyle name="Обычный 11 3" xfId="288" xr:uid="{00000000-0005-0000-0000-000020010000}"/>
    <cellStyle name="Обычный 12" xfId="289" xr:uid="{00000000-0005-0000-0000-000021010000}"/>
    <cellStyle name="Обычный 13" xfId="290" xr:uid="{00000000-0005-0000-0000-000022010000}"/>
    <cellStyle name="Обычный 14" xfId="291" xr:uid="{00000000-0005-0000-0000-000023010000}"/>
    <cellStyle name="Обычный 14 2" xfId="292" xr:uid="{00000000-0005-0000-0000-000024010000}"/>
    <cellStyle name="Обычный 15" xfId="293" xr:uid="{00000000-0005-0000-0000-000025010000}"/>
    <cellStyle name="Обычный 16" xfId="294" xr:uid="{00000000-0005-0000-0000-000026010000}"/>
    <cellStyle name="Обычный 17" xfId="295" xr:uid="{00000000-0005-0000-0000-000027010000}"/>
    <cellStyle name="Обычный 18" xfId="296" xr:uid="{00000000-0005-0000-0000-000028010000}"/>
    <cellStyle name="Обычный 19" xfId="297" xr:uid="{00000000-0005-0000-0000-000029010000}"/>
    <cellStyle name="Обычный 2" xfId="298" xr:uid="{00000000-0005-0000-0000-00002A010000}"/>
    <cellStyle name="Обычный 2 2" xfId="299" xr:uid="{00000000-0005-0000-0000-00002B010000}"/>
    <cellStyle name="Обычный 2 2 2" xfId="300" xr:uid="{00000000-0005-0000-0000-00002C010000}"/>
    <cellStyle name="Обычный 2 3" xfId="301" xr:uid="{00000000-0005-0000-0000-00002D010000}"/>
    <cellStyle name="Обычный 2 4" xfId="302" xr:uid="{00000000-0005-0000-0000-00002E010000}"/>
    <cellStyle name="Обычный 2_Аквасток 1" xfId="303" xr:uid="{00000000-0005-0000-0000-00002F010000}"/>
    <cellStyle name="Обычный 20" xfId="304" xr:uid="{00000000-0005-0000-0000-000030010000}"/>
    <cellStyle name="Обычный 21" xfId="305" xr:uid="{00000000-0005-0000-0000-000031010000}"/>
    <cellStyle name="Обычный 22" xfId="306" xr:uid="{00000000-0005-0000-0000-000032010000}"/>
    <cellStyle name="Обычный 23" xfId="307" xr:uid="{00000000-0005-0000-0000-000033010000}"/>
    <cellStyle name="Обычный 24" xfId="308" xr:uid="{00000000-0005-0000-0000-000034010000}"/>
    <cellStyle name="Обычный 25" xfId="309" xr:uid="{00000000-0005-0000-0000-000035010000}"/>
    <cellStyle name="Обычный 26" xfId="310" xr:uid="{00000000-0005-0000-0000-000036010000}"/>
    <cellStyle name="Обычный 27" xfId="395" xr:uid="{44580840-128F-4444-BA4D-77AA722AEF4C}"/>
    <cellStyle name="Обычный 28" xfId="396" xr:uid="{F779246C-90B6-4B13-8A4F-68BD52479587}"/>
    <cellStyle name="Обычный 3" xfId="311" xr:uid="{00000000-0005-0000-0000-000037010000}"/>
    <cellStyle name="Обычный 3 2" xfId="312" xr:uid="{00000000-0005-0000-0000-000038010000}"/>
    <cellStyle name="Обычный 30" xfId="313" xr:uid="{00000000-0005-0000-0000-000039010000}"/>
    <cellStyle name="Обычный 4" xfId="314" xr:uid="{00000000-0005-0000-0000-00003A010000}"/>
    <cellStyle name="Обычный 4 2" xfId="315" xr:uid="{00000000-0005-0000-0000-00003B010000}"/>
    <cellStyle name="Обычный 4 3" xfId="316" xr:uid="{00000000-0005-0000-0000-00003C010000}"/>
    <cellStyle name="Обычный 4 4" xfId="317" xr:uid="{00000000-0005-0000-0000-00003D010000}"/>
    <cellStyle name="Обычный 4 5" xfId="397" xr:uid="{B0F55474-DF13-4557-83DF-76DD4F9B0A36}"/>
    <cellStyle name="Обычный 4_~2131575" xfId="318" xr:uid="{00000000-0005-0000-0000-00003E010000}"/>
    <cellStyle name="Обычный 5" xfId="319" xr:uid="{00000000-0005-0000-0000-00003F010000}"/>
    <cellStyle name="Обычный 6" xfId="320" xr:uid="{00000000-0005-0000-0000-000040010000}"/>
    <cellStyle name="Обычный 6 2" xfId="321" xr:uid="{00000000-0005-0000-0000-000041010000}"/>
    <cellStyle name="Обычный 6 3" xfId="322" xr:uid="{00000000-0005-0000-0000-000042010000}"/>
    <cellStyle name="Обычный 6 4" xfId="323" xr:uid="{00000000-0005-0000-0000-000043010000}"/>
    <cellStyle name="Обычный 6 5" xfId="324" xr:uid="{00000000-0005-0000-0000-000044010000}"/>
    <cellStyle name="Обычный 7" xfId="325" xr:uid="{00000000-0005-0000-0000-000045010000}"/>
    <cellStyle name="Обычный 7 2" xfId="326" xr:uid="{00000000-0005-0000-0000-000046010000}"/>
    <cellStyle name="Обычный 8" xfId="327" xr:uid="{00000000-0005-0000-0000-000047010000}"/>
    <cellStyle name="Обычный 8 2" xfId="328" xr:uid="{00000000-0005-0000-0000-000048010000}"/>
    <cellStyle name="Обычный 9" xfId="329" xr:uid="{00000000-0005-0000-0000-000049010000}"/>
    <cellStyle name="Обычный 9 10" xfId="330" xr:uid="{00000000-0005-0000-0000-00004A010000}"/>
    <cellStyle name="Обычный 9 2" xfId="331" xr:uid="{00000000-0005-0000-0000-00004B010000}"/>
    <cellStyle name="Обычный 9 3" xfId="332" xr:uid="{00000000-0005-0000-0000-00004C010000}"/>
    <cellStyle name="Обычный 9 4" xfId="333" xr:uid="{00000000-0005-0000-0000-00004D010000}"/>
    <cellStyle name="Обычный 9 5" xfId="334" xr:uid="{00000000-0005-0000-0000-00004E010000}"/>
    <cellStyle name="Обычный 9 6" xfId="335" xr:uid="{00000000-0005-0000-0000-00004F010000}"/>
    <cellStyle name="Обычный 9 7" xfId="336" xr:uid="{00000000-0005-0000-0000-000050010000}"/>
    <cellStyle name="Обычный 9 8" xfId="337" xr:uid="{00000000-0005-0000-0000-000051010000}"/>
    <cellStyle name="Обычный 9 9" xfId="338" xr:uid="{00000000-0005-0000-0000-000052010000}"/>
    <cellStyle name="Обычный_Locinox_28_03_2013" xfId="339" xr:uid="{00000000-0005-0000-0000-000053010000}"/>
    <cellStyle name="Обычный_Лист1_Книга2" xfId="340" xr:uid="{00000000-0005-0000-0000-000054010000}"/>
    <cellStyle name="Обычный_прайс дилерский _14.06.11" xfId="341" xr:uid="{00000000-0005-0000-0000-000055010000}"/>
    <cellStyle name="Плохой" xfId="342" builtinId="27" customBuiltin="1"/>
    <cellStyle name="Плохой 2" xfId="343" xr:uid="{00000000-0005-0000-0000-000057010000}"/>
    <cellStyle name="Плохой 2 2" xfId="344" xr:uid="{00000000-0005-0000-0000-000058010000}"/>
    <cellStyle name="Плохой 2 3" xfId="345" xr:uid="{00000000-0005-0000-0000-000059010000}"/>
    <cellStyle name="Плохой 2 4" xfId="346" xr:uid="{00000000-0005-0000-0000-00005A010000}"/>
    <cellStyle name="Плохой 3" xfId="347" xr:uid="{00000000-0005-0000-0000-00005B010000}"/>
    <cellStyle name="Пояснение" xfId="348" builtinId="53" customBuiltin="1"/>
    <cellStyle name="Пояснение 2" xfId="349" xr:uid="{00000000-0005-0000-0000-00005D010000}"/>
    <cellStyle name="Пояснение 3" xfId="350" xr:uid="{00000000-0005-0000-0000-00005E010000}"/>
    <cellStyle name="Примечание" xfId="351" builtinId="10" customBuiltin="1"/>
    <cellStyle name="Примечание 2" xfId="352" xr:uid="{00000000-0005-0000-0000-000060010000}"/>
    <cellStyle name="Примечание 2 2" xfId="353" xr:uid="{00000000-0005-0000-0000-000061010000}"/>
    <cellStyle name="Примечание 2 3" xfId="354" xr:uid="{00000000-0005-0000-0000-000062010000}"/>
    <cellStyle name="Примечание 2 4" xfId="355" xr:uid="{00000000-0005-0000-0000-000063010000}"/>
    <cellStyle name="Примечание 3" xfId="356" xr:uid="{00000000-0005-0000-0000-000064010000}"/>
    <cellStyle name="Процентный" xfId="357" builtinId="5"/>
    <cellStyle name="Процентный 2" xfId="358" xr:uid="{00000000-0005-0000-0000-000066010000}"/>
    <cellStyle name="Процентный 2 2" xfId="359" xr:uid="{00000000-0005-0000-0000-000067010000}"/>
    <cellStyle name="Процентный 2 3" xfId="360" xr:uid="{00000000-0005-0000-0000-000068010000}"/>
    <cellStyle name="Процентный 2 4" xfId="361" xr:uid="{00000000-0005-0000-0000-000069010000}"/>
    <cellStyle name="Процентный 3" xfId="362" xr:uid="{00000000-0005-0000-0000-00006A010000}"/>
    <cellStyle name="Процентный 3 2" xfId="363" xr:uid="{00000000-0005-0000-0000-00006B010000}"/>
    <cellStyle name="Процентный 3 3" xfId="364" xr:uid="{00000000-0005-0000-0000-00006C010000}"/>
    <cellStyle name="Процентный 3 4" xfId="365" xr:uid="{00000000-0005-0000-0000-00006D010000}"/>
    <cellStyle name="Процентный 4" xfId="366" xr:uid="{00000000-0005-0000-0000-00006E010000}"/>
    <cellStyle name="Процентный 4 2" xfId="367" xr:uid="{00000000-0005-0000-0000-00006F010000}"/>
    <cellStyle name="Процентный 4 3" xfId="368" xr:uid="{00000000-0005-0000-0000-000070010000}"/>
    <cellStyle name="Процентный 5" xfId="369" xr:uid="{00000000-0005-0000-0000-000071010000}"/>
    <cellStyle name="Процентный 6" xfId="370" xr:uid="{00000000-0005-0000-0000-000072010000}"/>
    <cellStyle name="Связанная ячейка" xfId="371" builtinId="24" customBuiltin="1"/>
    <cellStyle name="Связанная ячейка 2" xfId="372" xr:uid="{00000000-0005-0000-0000-000074010000}"/>
    <cellStyle name="Связанная ячейка 3" xfId="373" xr:uid="{00000000-0005-0000-0000-000075010000}"/>
    <cellStyle name="Стиль 1" xfId="374" xr:uid="{00000000-0005-0000-0000-000076010000}"/>
    <cellStyle name="Текст предупреждения" xfId="375" builtinId="11" customBuiltin="1"/>
    <cellStyle name="Текст предупреждения 2" xfId="376" xr:uid="{00000000-0005-0000-0000-000078010000}"/>
    <cellStyle name="Текст предупреждения 3" xfId="377" xr:uid="{00000000-0005-0000-0000-000079010000}"/>
    <cellStyle name="Финансовый" xfId="378" builtinId="3"/>
    <cellStyle name="Финансовый 2" xfId="379" xr:uid="{00000000-0005-0000-0000-00007B010000}"/>
    <cellStyle name="Финансовый 2 2" xfId="380" xr:uid="{00000000-0005-0000-0000-00007C010000}"/>
    <cellStyle name="Финансовый 2 3" xfId="381" xr:uid="{00000000-0005-0000-0000-00007D010000}"/>
    <cellStyle name="Финансовый 2 4" xfId="382" xr:uid="{00000000-0005-0000-0000-00007E010000}"/>
    <cellStyle name="Финансовый 3" xfId="383" xr:uid="{00000000-0005-0000-0000-00007F010000}"/>
    <cellStyle name="Финансовый 3 2" xfId="384" xr:uid="{00000000-0005-0000-0000-000080010000}"/>
    <cellStyle name="Финансовый 3 3" xfId="385" xr:uid="{00000000-0005-0000-0000-000081010000}"/>
    <cellStyle name="Финансовый 4" xfId="386" xr:uid="{00000000-0005-0000-0000-000082010000}"/>
    <cellStyle name="Финансовый 4 2" xfId="387" xr:uid="{00000000-0005-0000-0000-000083010000}"/>
    <cellStyle name="Финансовый 4 3" xfId="388" xr:uid="{00000000-0005-0000-0000-000084010000}"/>
    <cellStyle name="Хороший" xfId="389" builtinId="26" customBuiltin="1"/>
    <cellStyle name="Хороший 2" xfId="390" xr:uid="{00000000-0005-0000-0000-000086010000}"/>
    <cellStyle name="Хороший 2 2" xfId="391" xr:uid="{00000000-0005-0000-0000-000087010000}"/>
    <cellStyle name="Хороший 2 3" xfId="392" xr:uid="{00000000-0005-0000-0000-000088010000}"/>
    <cellStyle name="Хороший 2 4" xfId="393" xr:uid="{00000000-0005-0000-0000-000089010000}"/>
    <cellStyle name="Хороший 3" xfId="394" xr:uid="{00000000-0005-0000-0000-00008A010000}"/>
  </cellStyles>
  <dxfs count="18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strike/>
        <color theme="0" tint="-4.9989318521683403E-2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969696"/>
      <color rgb="FFFFFF75"/>
      <color rgb="FFC0C0C0"/>
      <color rgb="FFFF7171"/>
      <color rgb="FF003300"/>
      <color rgb="FFDDDDDD"/>
      <color rgb="FFFFCC00"/>
      <color rgb="FFFF2121"/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0.jpeg"/><Relationship Id="rId3" Type="http://schemas.openxmlformats.org/officeDocument/2006/relationships/image" Target="../media/image116.png"/><Relationship Id="rId7" Type="http://schemas.openxmlformats.org/officeDocument/2006/relationships/image" Target="../media/image119.jpeg"/><Relationship Id="rId12" Type="http://schemas.openxmlformats.org/officeDocument/2006/relationships/image" Target="../media/image124.jpeg"/><Relationship Id="rId2" Type="http://schemas.openxmlformats.org/officeDocument/2006/relationships/image" Target="../media/image115.jpeg"/><Relationship Id="rId1" Type="http://schemas.openxmlformats.org/officeDocument/2006/relationships/image" Target="../media/image114.jpeg"/><Relationship Id="rId6" Type="http://schemas.openxmlformats.org/officeDocument/2006/relationships/image" Target="../media/image118.jpeg"/><Relationship Id="rId11" Type="http://schemas.openxmlformats.org/officeDocument/2006/relationships/image" Target="../media/image123.jpeg"/><Relationship Id="rId5" Type="http://schemas.microsoft.com/office/2007/relationships/hdphoto" Target="../media/hdphoto3.wdp"/><Relationship Id="rId10" Type="http://schemas.openxmlformats.org/officeDocument/2006/relationships/image" Target="../media/image122.jpeg"/><Relationship Id="rId4" Type="http://schemas.openxmlformats.org/officeDocument/2006/relationships/image" Target="../media/image117.png"/><Relationship Id="rId9" Type="http://schemas.openxmlformats.org/officeDocument/2006/relationships/image" Target="../media/image12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8.jpeg"/><Relationship Id="rId2" Type="http://schemas.openxmlformats.org/officeDocument/2006/relationships/image" Target="../media/image127.png"/><Relationship Id="rId1" Type="http://schemas.openxmlformats.org/officeDocument/2006/relationships/image" Target="../media/image126.jpeg"/><Relationship Id="rId6" Type="http://schemas.openxmlformats.org/officeDocument/2006/relationships/image" Target="../media/image131.jpeg"/><Relationship Id="rId5" Type="http://schemas.openxmlformats.org/officeDocument/2006/relationships/image" Target="../media/image130.jpeg"/><Relationship Id="rId4" Type="http://schemas.openxmlformats.org/officeDocument/2006/relationships/image" Target="../media/image129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9.png"/><Relationship Id="rId3" Type="http://schemas.openxmlformats.org/officeDocument/2006/relationships/image" Target="../media/image134.png"/><Relationship Id="rId7" Type="http://schemas.openxmlformats.org/officeDocument/2006/relationships/image" Target="../media/image138.png"/><Relationship Id="rId12" Type="http://schemas.openxmlformats.org/officeDocument/2006/relationships/image" Target="../media/image143.png"/><Relationship Id="rId2" Type="http://schemas.openxmlformats.org/officeDocument/2006/relationships/image" Target="../media/image133.png"/><Relationship Id="rId1" Type="http://schemas.openxmlformats.org/officeDocument/2006/relationships/image" Target="../media/image132.jpeg"/><Relationship Id="rId6" Type="http://schemas.openxmlformats.org/officeDocument/2006/relationships/image" Target="../media/image137.png"/><Relationship Id="rId11" Type="http://schemas.openxmlformats.org/officeDocument/2006/relationships/image" Target="../media/image142.png"/><Relationship Id="rId5" Type="http://schemas.openxmlformats.org/officeDocument/2006/relationships/image" Target="../media/image136.png"/><Relationship Id="rId10" Type="http://schemas.openxmlformats.org/officeDocument/2006/relationships/image" Target="../media/image141.png"/><Relationship Id="rId4" Type="http://schemas.openxmlformats.org/officeDocument/2006/relationships/image" Target="../media/image135.png"/><Relationship Id="rId9" Type="http://schemas.openxmlformats.org/officeDocument/2006/relationships/image" Target="../media/image14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6.jpeg"/><Relationship Id="rId2" Type="http://schemas.openxmlformats.org/officeDocument/2006/relationships/image" Target="../media/image145.png"/><Relationship Id="rId1" Type="http://schemas.openxmlformats.org/officeDocument/2006/relationships/image" Target="../media/image144.png"/><Relationship Id="rId6" Type="http://schemas.openxmlformats.org/officeDocument/2006/relationships/image" Target="../media/image149.jpeg"/><Relationship Id="rId5" Type="http://schemas.openxmlformats.org/officeDocument/2006/relationships/image" Target="../media/image148.jpeg"/><Relationship Id="rId4" Type="http://schemas.openxmlformats.org/officeDocument/2006/relationships/image" Target="../media/image147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png"/><Relationship Id="rId13" Type="http://schemas.openxmlformats.org/officeDocument/2006/relationships/image" Target="../media/image159.png"/><Relationship Id="rId3" Type="http://schemas.openxmlformats.org/officeDocument/2006/relationships/image" Target="../media/image152.png"/><Relationship Id="rId7" Type="http://schemas.openxmlformats.org/officeDocument/2006/relationships/image" Target="../media/image155.png"/><Relationship Id="rId12" Type="http://schemas.microsoft.com/office/2007/relationships/hdphoto" Target="../media/hdphoto5.wdp"/><Relationship Id="rId2" Type="http://schemas.openxmlformats.org/officeDocument/2006/relationships/image" Target="../media/image151.png"/><Relationship Id="rId1" Type="http://schemas.openxmlformats.org/officeDocument/2006/relationships/image" Target="../media/image150.jpeg"/><Relationship Id="rId6" Type="http://schemas.microsoft.com/office/2007/relationships/hdphoto" Target="../media/hdphoto4.wdp"/><Relationship Id="rId11" Type="http://schemas.openxmlformats.org/officeDocument/2006/relationships/image" Target="../media/image158.png"/><Relationship Id="rId5" Type="http://schemas.openxmlformats.org/officeDocument/2006/relationships/image" Target="../media/image154.png"/><Relationship Id="rId10" Type="http://schemas.openxmlformats.org/officeDocument/2006/relationships/image" Target="../media/image157.png"/><Relationship Id="rId4" Type="http://schemas.openxmlformats.org/officeDocument/2006/relationships/image" Target="../media/image153.png"/><Relationship Id="rId9" Type="http://schemas.openxmlformats.org/officeDocument/2006/relationships/image" Target="../media/image156.png"/><Relationship Id="rId14" Type="http://schemas.microsoft.com/office/2007/relationships/hdphoto" Target="../media/hdphoto6.wdp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jpeg"/><Relationship Id="rId13" Type="http://schemas.openxmlformats.org/officeDocument/2006/relationships/image" Target="../media/image172.jpeg"/><Relationship Id="rId18" Type="http://schemas.openxmlformats.org/officeDocument/2006/relationships/image" Target="../media/image177.jpeg"/><Relationship Id="rId3" Type="http://schemas.openxmlformats.org/officeDocument/2006/relationships/image" Target="../media/image162.png"/><Relationship Id="rId21" Type="http://schemas.openxmlformats.org/officeDocument/2006/relationships/image" Target="../media/image180.png"/><Relationship Id="rId7" Type="http://schemas.openxmlformats.org/officeDocument/2006/relationships/image" Target="../media/image166.jpeg"/><Relationship Id="rId12" Type="http://schemas.openxmlformats.org/officeDocument/2006/relationships/image" Target="../media/image171.jpeg"/><Relationship Id="rId17" Type="http://schemas.openxmlformats.org/officeDocument/2006/relationships/image" Target="../media/image176.jpeg"/><Relationship Id="rId2" Type="http://schemas.openxmlformats.org/officeDocument/2006/relationships/image" Target="../media/image161.png"/><Relationship Id="rId16" Type="http://schemas.openxmlformats.org/officeDocument/2006/relationships/image" Target="../media/image175.png"/><Relationship Id="rId20" Type="http://schemas.openxmlformats.org/officeDocument/2006/relationships/image" Target="../media/image179.png"/><Relationship Id="rId1" Type="http://schemas.openxmlformats.org/officeDocument/2006/relationships/image" Target="../media/image160.png"/><Relationship Id="rId6" Type="http://schemas.openxmlformats.org/officeDocument/2006/relationships/image" Target="../media/image165.png"/><Relationship Id="rId11" Type="http://schemas.openxmlformats.org/officeDocument/2006/relationships/image" Target="../media/image170.jpeg"/><Relationship Id="rId5" Type="http://schemas.openxmlformats.org/officeDocument/2006/relationships/image" Target="../media/image164.jpeg"/><Relationship Id="rId15" Type="http://schemas.openxmlformats.org/officeDocument/2006/relationships/image" Target="../media/image174.png"/><Relationship Id="rId23" Type="http://schemas.openxmlformats.org/officeDocument/2006/relationships/image" Target="../media/image182.png"/><Relationship Id="rId10" Type="http://schemas.openxmlformats.org/officeDocument/2006/relationships/image" Target="../media/image169.jpeg"/><Relationship Id="rId19" Type="http://schemas.openxmlformats.org/officeDocument/2006/relationships/image" Target="../media/image178.jpeg"/><Relationship Id="rId4" Type="http://schemas.openxmlformats.org/officeDocument/2006/relationships/image" Target="../media/image163.png"/><Relationship Id="rId9" Type="http://schemas.openxmlformats.org/officeDocument/2006/relationships/image" Target="../media/image168.jpeg"/><Relationship Id="rId14" Type="http://schemas.openxmlformats.org/officeDocument/2006/relationships/image" Target="../media/image173.jpeg"/><Relationship Id="rId22" Type="http://schemas.openxmlformats.org/officeDocument/2006/relationships/image" Target="../media/image18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5.png"/><Relationship Id="rId2" Type="http://schemas.openxmlformats.org/officeDocument/2006/relationships/image" Target="../media/image184.png"/><Relationship Id="rId1" Type="http://schemas.openxmlformats.org/officeDocument/2006/relationships/image" Target="../media/image183.png"/><Relationship Id="rId4" Type="http://schemas.openxmlformats.org/officeDocument/2006/relationships/image" Target="../media/image18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emf"/><Relationship Id="rId2" Type="http://schemas.openxmlformats.org/officeDocument/2006/relationships/image" Target="../media/image189.emf"/><Relationship Id="rId1" Type="http://schemas.openxmlformats.org/officeDocument/2006/relationships/image" Target="../media/image188.emf"/><Relationship Id="rId4" Type="http://schemas.openxmlformats.org/officeDocument/2006/relationships/image" Target="../media/image19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jpeg"/><Relationship Id="rId18" Type="http://schemas.openxmlformats.org/officeDocument/2006/relationships/image" Target="../media/image25.png"/><Relationship Id="rId3" Type="http://schemas.openxmlformats.org/officeDocument/2006/relationships/image" Target="../media/image10.png"/><Relationship Id="rId21" Type="http://schemas.openxmlformats.org/officeDocument/2006/relationships/image" Target="../media/image28.png"/><Relationship Id="rId7" Type="http://schemas.openxmlformats.org/officeDocument/2006/relationships/image" Target="../media/image14.jpeg"/><Relationship Id="rId12" Type="http://schemas.openxmlformats.org/officeDocument/2006/relationships/image" Target="../media/image19.jpeg"/><Relationship Id="rId17" Type="http://schemas.openxmlformats.org/officeDocument/2006/relationships/image" Target="../media/image24.jpeg"/><Relationship Id="rId2" Type="http://schemas.openxmlformats.org/officeDocument/2006/relationships/image" Target="../media/image9.jpeg"/><Relationship Id="rId16" Type="http://schemas.openxmlformats.org/officeDocument/2006/relationships/image" Target="../media/image23.png"/><Relationship Id="rId20" Type="http://schemas.openxmlformats.org/officeDocument/2006/relationships/image" Target="../media/image27.jpeg"/><Relationship Id="rId1" Type="http://schemas.openxmlformats.org/officeDocument/2006/relationships/image" Target="../media/image8.png"/><Relationship Id="rId6" Type="http://schemas.openxmlformats.org/officeDocument/2006/relationships/image" Target="../media/image13.jpeg"/><Relationship Id="rId11" Type="http://schemas.openxmlformats.org/officeDocument/2006/relationships/image" Target="../media/image18.jpeg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10" Type="http://schemas.openxmlformats.org/officeDocument/2006/relationships/image" Target="../media/image17.png"/><Relationship Id="rId19" Type="http://schemas.openxmlformats.org/officeDocument/2006/relationships/image" Target="../media/image26.png"/><Relationship Id="rId4" Type="http://schemas.openxmlformats.org/officeDocument/2006/relationships/image" Target="../media/image11.jpe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zabor.grandline.ru/katalog/panelnye-ograzhdeniya/profi" TargetMode="External"/><Relationship Id="rId1" Type="http://schemas.openxmlformats.org/officeDocument/2006/relationships/hyperlink" Target="https://zabor.grandline.ru/katalog/panelnye-ograzhdeniya/medium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zabor.grandline.ru/katalog/panelnye-ograzhdeniya/bastion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13" Type="http://schemas.openxmlformats.org/officeDocument/2006/relationships/image" Target="../media/image41.png"/><Relationship Id="rId18" Type="http://schemas.openxmlformats.org/officeDocument/2006/relationships/image" Target="../media/image46.jpe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jpe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jpe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jpe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10" Type="http://schemas.openxmlformats.org/officeDocument/2006/relationships/image" Target="../media/image38.png"/><Relationship Id="rId19" Type="http://schemas.openxmlformats.org/officeDocument/2006/relationships/image" Target="../media/image47.jpeg"/><Relationship Id="rId4" Type="http://schemas.openxmlformats.org/officeDocument/2006/relationships/image" Target="../media/image32.jpeg"/><Relationship Id="rId9" Type="http://schemas.openxmlformats.org/officeDocument/2006/relationships/image" Target="../media/image37.jpeg"/><Relationship Id="rId14" Type="http://schemas.openxmlformats.org/officeDocument/2006/relationships/image" Target="../media/image42.jpeg"/><Relationship Id="rId22" Type="http://schemas.openxmlformats.org/officeDocument/2006/relationships/image" Target="../media/image5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jpeg"/><Relationship Id="rId13" Type="http://schemas.openxmlformats.org/officeDocument/2006/relationships/image" Target="../media/image63.jpeg"/><Relationship Id="rId18" Type="http://schemas.openxmlformats.org/officeDocument/2006/relationships/image" Target="../media/image68.png"/><Relationship Id="rId26" Type="http://schemas.openxmlformats.org/officeDocument/2006/relationships/image" Target="../media/image76.png"/><Relationship Id="rId3" Type="http://schemas.openxmlformats.org/officeDocument/2006/relationships/image" Target="../media/image53.jpeg"/><Relationship Id="rId21" Type="http://schemas.openxmlformats.org/officeDocument/2006/relationships/image" Target="../media/image71.png"/><Relationship Id="rId7" Type="http://schemas.openxmlformats.org/officeDocument/2006/relationships/image" Target="../media/image57.png"/><Relationship Id="rId12" Type="http://schemas.openxmlformats.org/officeDocument/2006/relationships/image" Target="../media/image62.png"/><Relationship Id="rId17" Type="http://schemas.openxmlformats.org/officeDocument/2006/relationships/image" Target="../media/image67.png"/><Relationship Id="rId25" Type="http://schemas.openxmlformats.org/officeDocument/2006/relationships/image" Target="../media/image75.png"/><Relationship Id="rId2" Type="http://schemas.openxmlformats.org/officeDocument/2006/relationships/image" Target="../media/image52.jpeg"/><Relationship Id="rId16" Type="http://schemas.openxmlformats.org/officeDocument/2006/relationships/image" Target="../media/image66.png"/><Relationship Id="rId20" Type="http://schemas.openxmlformats.org/officeDocument/2006/relationships/image" Target="../media/image70.png"/><Relationship Id="rId29" Type="http://schemas.openxmlformats.org/officeDocument/2006/relationships/image" Target="../media/image79.pn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11" Type="http://schemas.openxmlformats.org/officeDocument/2006/relationships/image" Target="../media/image61.png"/><Relationship Id="rId24" Type="http://schemas.openxmlformats.org/officeDocument/2006/relationships/image" Target="../media/image74.jpeg"/><Relationship Id="rId5" Type="http://schemas.openxmlformats.org/officeDocument/2006/relationships/image" Target="../media/image55.jpeg"/><Relationship Id="rId15" Type="http://schemas.openxmlformats.org/officeDocument/2006/relationships/image" Target="../media/image65.png"/><Relationship Id="rId23" Type="http://schemas.openxmlformats.org/officeDocument/2006/relationships/image" Target="../media/image73.jpeg"/><Relationship Id="rId28" Type="http://schemas.openxmlformats.org/officeDocument/2006/relationships/image" Target="../media/image78.png"/><Relationship Id="rId10" Type="http://schemas.openxmlformats.org/officeDocument/2006/relationships/image" Target="../media/image60.jpeg"/><Relationship Id="rId19" Type="http://schemas.openxmlformats.org/officeDocument/2006/relationships/image" Target="../media/image69.png"/><Relationship Id="rId4" Type="http://schemas.openxmlformats.org/officeDocument/2006/relationships/image" Target="../media/image54.jpeg"/><Relationship Id="rId9" Type="http://schemas.openxmlformats.org/officeDocument/2006/relationships/image" Target="../media/image59.jpeg"/><Relationship Id="rId14" Type="http://schemas.openxmlformats.org/officeDocument/2006/relationships/image" Target="../media/image64.png"/><Relationship Id="rId22" Type="http://schemas.openxmlformats.org/officeDocument/2006/relationships/image" Target="../media/image72.png"/><Relationship Id="rId27" Type="http://schemas.openxmlformats.org/officeDocument/2006/relationships/image" Target="../media/image77.jpeg"/><Relationship Id="rId30" Type="http://schemas.openxmlformats.org/officeDocument/2006/relationships/image" Target="../media/image8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randline.ru/uploads/images/ogragdeniya/modul/Premiumplus/vetrovye_nagruzki_in_3.jpg" TargetMode="External"/><Relationship Id="rId1" Type="http://schemas.openxmlformats.org/officeDocument/2006/relationships/hyperlink" Target="http://www.grandline.ru/shop/zabory-i-ograzhdeniya/modulnye-ograzhdeniya/ekonom/vetrovaya-nagruzka/tablica-vetrovoj-nagruzki/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13" Type="http://schemas.openxmlformats.org/officeDocument/2006/relationships/image" Target="../media/image92.png"/><Relationship Id="rId3" Type="http://schemas.openxmlformats.org/officeDocument/2006/relationships/image" Target="../media/image82.jpeg"/><Relationship Id="rId7" Type="http://schemas.openxmlformats.org/officeDocument/2006/relationships/image" Target="../media/image86.jpeg"/><Relationship Id="rId12" Type="http://schemas.openxmlformats.org/officeDocument/2006/relationships/image" Target="../media/image91.png"/><Relationship Id="rId2" Type="http://schemas.microsoft.com/office/2007/relationships/hdphoto" Target="../media/hdphoto2.wdp"/><Relationship Id="rId1" Type="http://schemas.openxmlformats.org/officeDocument/2006/relationships/image" Target="../media/image81.png"/><Relationship Id="rId6" Type="http://schemas.openxmlformats.org/officeDocument/2006/relationships/image" Target="../media/image85.jpeg"/><Relationship Id="rId11" Type="http://schemas.openxmlformats.org/officeDocument/2006/relationships/image" Target="../media/image90.png"/><Relationship Id="rId5" Type="http://schemas.openxmlformats.org/officeDocument/2006/relationships/image" Target="../media/image84.jpeg"/><Relationship Id="rId15" Type="http://schemas.openxmlformats.org/officeDocument/2006/relationships/image" Target="../media/image94.png"/><Relationship Id="rId10" Type="http://schemas.openxmlformats.org/officeDocument/2006/relationships/image" Target="../media/image89.jpeg"/><Relationship Id="rId4" Type="http://schemas.openxmlformats.org/officeDocument/2006/relationships/image" Target="../media/image83.jpeg"/><Relationship Id="rId9" Type="http://schemas.openxmlformats.org/officeDocument/2006/relationships/image" Target="../media/image88.emf"/><Relationship Id="rId14" Type="http://schemas.openxmlformats.org/officeDocument/2006/relationships/image" Target="../media/image93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2.png"/><Relationship Id="rId13" Type="http://schemas.openxmlformats.org/officeDocument/2006/relationships/image" Target="../media/image107.png"/><Relationship Id="rId18" Type="http://schemas.openxmlformats.org/officeDocument/2006/relationships/image" Target="../media/image112.jpeg"/><Relationship Id="rId3" Type="http://schemas.openxmlformats.org/officeDocument/2006/relationships/image" Target="../media/image97.png"/><Relationship Id="rId7" Type="http://schemas.openxmlformats.org/officeDocument/2006/relationships/image" Target="../media/image101.png"/><Relationship Id="rId12" Type="http://schemas.openxmlformats.org/officeDocument/2006/relationships/image" Target="../media/image106.png"/><Relationship Id="rId17" Type="http://schemas.openxmlformats.org/officeDocument/2006/relationships/image" Target="../media/image111.png"/><Relationship Id="rId2" Type="http://schemas.openxmlformats.org/officeDocument/2006/relationships/image" Target="../media/image96.jpeg"/><Relationship Id="rId16" Type="http://schemas.openxmlformats.org/officeDocument/2006/relationships/image" Target="../media/image110.png"/><Relationship Id="rId1" Type="http://schemas.openxmlformats.org/officeDocument/2006/relationships/image" Target="../media/image95.jpeg"/><Relationship Id="rId6" Type="http://schemas.openxmlformats.org/officeDocument/2006/relationships/image" Target="../media/image100.png"/><Relationship Id="rId11" Type="http://schemas.openxmlformats.org/officeDocument/2006/relationships/image" Target="../media/image105.png"/><Relationship Id="rId5" Type="http://schemas.openxmlformats.org/officeDocument/2006/relationships/image" Target="../media/image99.jpeg"/><Relationship Id="rId15" Type="http://schemas.openxmlformats.org/officeDocument/2006/relationships/image" Target="../media/image109.png"/><Relationship Id="rId10" Type="http://schemas.openxmlformats.org/officeDocument/2006/relationships/image" Target="../media/image104.png"/><Relationship Id="rId19" Type="http://schemas.openxmlformats.org/officeDocument/2006/relationships/image" Target="../media/image113.jpeg"/><Relationship Id="rId4" Type="http://schemas.openxmlformats.org/officeDocument/2006/relationships/image" Target="../media/image98.png"/><Relationship Id="rId9" Type="http://schemas.openxmlformats.org/officeDocument/2006/relationships/image" Target="../media/image103.png"/><Relationship Id="rId14" Type="http://schemas.openxmlformats.org/officeDocument/2006/relationships/image" Target="../media/image10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7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7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7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7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4.emf"/><Relationship Id="rId2" Type="http://schemas.openxmlformats.org/officeDocument/2006/relationships/image" Target="../media/image193.emf"/><Relationship Id="rId1" Type="http://schemas.openxmlformats.org/officeDocument/2006/relationships/image" Target="../media/image192.emf"/><Relationship Id="rId4" Type="http://schemas.openxmlformats.org/officeDocument/2006/relationships/image" Target="../media/image19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207817</xdr:colOff>
      <xdr:row>6</xdr:row>
      <xdr:rowOff>69275</xdr:rowOff>
    </xdr:from>
    <xdr:to>
      <xdr:col>1</xdr:col>
      <xdr:colOff>3591817</xdr:colOff>
      <xdr:row>8</xdr:row>
      <xdr:rowOff>1212820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93272" y="11914911"/>
          <a:ext cx="3384000" cy="3672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617635</xdr:colOff>
      <xdr:row>4</xdr:row>
      <xdr:rowOff>121228</xdr:rowOff>
    </xdr:from>
    <xdr:to>
      <xdr:col>1</xdr:col>
      <xdr:colOff>3029635</xdr:colOff>
      <xdr:row>5</xdr:row>
      <xdr:rowOff>1798547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090" y="8156864"/>
          <a:ext cx="2412000" cy="3582319"/>
        </a:xfrm>
        <a:prstGeom prst="rect">
          <a:avLst/>
        </a:prstGeom>
      </xdr:spPr>
    </xdr:pic>
    <xdr:clientData/>
  </xdr:twoCellAnchor>
  <xdr:twoCellAnchor editAs="oneCell">
    <xdr:from>
      <xdr:col>1</xdr:col>
      <xdr:colOff>266598</xdr:colOff>
      <xdr:row>6</xdr:row>
      <xdr:rowOff>121229</xdr:rowOff>
    </xdr:from>
    <xdr:to>
      <xdr:col>1</xdr:col>
      <xdr:colOff>3543175</xdr:colOff>
      <xdr:row>8</xdr:row>
      <xdr:rowOff>1084775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053" y="18028229"/>
          <a:ext cx="3276577" cy="3492000"/>
        </a:xfrm>
        <a:prstGeom prst="rect">
          <a:avLst/>
        </a:prstGeom>
      </xdr:spPr>
    </xdr:pic>
    <xdr:clientData/>
  </xdr:twoCellAnchor>
  <xdr:oneCellAnchor>
    <xdr:from>
      <xdr:col>1</xdr:col>
      <xdr:colOff>904498</xdr:colOff>
      <xdr:row>3</xdr:row>
      <xdr:rowOff>173181</xdr:rowOff>
    </xdr:from>
    <xdr:ext cx="1620000" cy="1324418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9953" y="2182090"/>
          <a:ext cx="1620000" cy="1324418"/>
        </a:xfrm>
        <a:prstGeom prst="rect">
          <a:avLst/>
        </a:prstGeom>
      </xdr:spPr>
    </xdr:pic>
    <xdr:clientData/>
  </xdr:oneCellAnchor>
  <xdr:twoCellAnchor editAs="oneCell">
    <xdr:from>
      <xdr:col>1</xdr:col>
      <xdr:colOff>103908</xdr:colOff>
      <xdr:row>13</xdr:row>
      <xdr:rowOff>813954</xdr:rowOff>
    </xdr:from>
    <xdr:to>
      <xdr:col>1</xdr:col>
      <xdr:colOff>2299908</xdr:colOff>
      <xdr:row>14</xdr:row>
      <xdr:rowOff>1013726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4715" r="8999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363" y="17699181"/>
          <a:ext cx="2196000" cy="14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236592</xdr:colOff>
      <xdr:row>12</xdr:row>
      <xdr:rowOff>138544</xdr:rowOff>
    </xdr:from>
    <xdr:to>
      <xdr:col>1</xdr:col>
      <xdr:colOff>3476592</xdr:colOff>
      <xdr:row>13</xdr:row>
      <xdr:rowOff>425944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047" y="15118771"/>
          <a:ext cx="3240000" cy="2192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2222318</xdr:colOff>
      <xdr:row>13</xdr:row>
      <xdr:rowOff>317317</xdr:rowOff>
    </xdr:from>
    <xdr:to>
      <xdr:col>1</xdr:col>
      <xdr:colOff>3482318</xdr:colOff>
      <xdr:row>14</xdr:row>
      <xdr:rowOff>313089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773" y="17202544"/>
          <a:ext cx="126000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2216454</xdr:colOff>
      <xdr:row>14</xdr:row>
      <xdr:rowOff>553908</xdr:rowOff>
    </xdr:from>
    <xdr:to>
      <xdr:col>1</xdr:col>
      <xdr:colOff>3476454</xdr:colOff>
      <xdr:row>14</xdr:row>
      <xdr:rowOff>1813908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909" y="18703363"/>
          <a:ext cx="1260000" cy="126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71112</xdr:colOff>
      <xdr:row>16</xdr:row>
      <xdr:rowOff>303936</xdr:rowOff>
    </xdr:from>
    <xdr:to>
      <xdr:col>0</xdr:col>
      <xdr:colOff>2447112</xdr:colOff>
      <xdr:row>21</xdr:row>
      <xdr:rowOff>133965</xdr:rowOff>
    </xdr:to>
    <xdr:pic>
      <xdr:nvPicPr>
        <xdr:cNvPr id="155739" name="Рисунок 2">
          <a:extLst>
            <a:ext uri="{FF2B5EF4-FFF2-40B4-BE49-F238E27FC236}">
              <a16:creationId xmlns:a16="http://schemas.microsoft.com/office/drawing/2014/main" id="{00000000-0008-0000-0A00-00005B6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2" y="12790345"/>
          <a:ext cx="2376000" cy="173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71112</xdr:colOff>
      <xdr:row>26</xdr:row>
      <xdr:rowOff>8653</xdr:rowOff>
    </xdr:from>
    <xdr:to>
      <xdr:col>0</xdr:col>
      <xdr:colOff>2447112</xdr:colOff>
      <xdr:row>29</xdr:row>
      <xdr:rowOff>195634</xdr:rowOff>
    </xdr:to>
    <xdr:pic>
      <xdr:nvPicPr>
        <xdr:cNvPr id="155740" name="Рисунок 1">
          <a:extLst>
            <a:ext uri="{FF2B5EF4-FFF2-40B4-BE49-F238E27FC236}">
              <a16:creationId xmlns:a16="http://schemas.microsoft.com/office/drawing/2014/main" id="{00000000-0008-0000-0A00-00005C6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2" y="16547517"/>
          <a:ext cx="2376000" cy="1572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142248</xdr:colOff>
      <xdr:row>3</xdr:row>
      <xdr:rowOff>69273</xdr:rowOff>
    </xdr:from>
    <xdr:to>
      <xdr:col>0</xdr:col>
      <xdr:colOff>2358658</xdr:colOff>
      <xdr:row>3</xdr:row>
      <xdr:rowOff>1869273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248" y="3030682"/>
          <a:ext cx="221641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141653</xdr:colOff>
      <xdr:row>4</xdr:row>
      <xdr:rowOff>173182</xdr:rowOff>
    </xdr:from>
    <xdr:to>
      <xdr:col>0</xdr:col>
      <xdr:colOff>2359253</xdr:colOff>
      <xdr:row>6</xdr:row>
      <xdr:rowOff>554183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duotone>
            <a:prstClr val="black"/>
            <a:schemeClr val="accent3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1653" y="5039591"/>
          <a:ext cx="2217600" cy="1627910"/>
        </a:xfrm>
        <a:prstGeom prst="rect">
          <a:avLst/>
        </a:prstGeom>
      </xdr:spPr>
    </xdr:pic>
    <xdr:clientData/>
  </xdr:twoCellAnchor>
  <xdr:twoCellAnchor editAs="oneCell">
    <xdr:from>
      <xdr:col>0</xdr:col>
      <xdr:colOff>189568</xdr:colOff>
      <xdr:row>9</xdr:row>
      <xdr:rowOff>54750</xdr:rowOff>
    </xdr:from>
    <xdr:to>
      <xdr:col>0</xdr:col>
      <xdr:colOff>2306492</xdr:colOff>
      <xdr:row>10</xdr:row>
      <xdr:rowOff>732750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568" y="8246250"/>
          <a:ext cx="2116924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173180</xdr:colOff>
      <xdr:row>9</xdr:row>
      <xdr:rowOff>227932</xdr:rowOff>
    </xdr:from>
    <xdr:to>
      <xdr:col>9</xdr:col>
      <xdr:colOff>1230271</xdr:colOff>
      <xdr:row>10</xdr:row>
      <xdr:rowOff>730911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0998" y="8419432"/>
          <a:ext cx="2304000" cy="1264979"/>
        </a:xfrm>
        <a:prstGeom prst="rect">
          <a:avLst/>
        </a:prstGeom>
      </xdr:spPr>
    </xdr:pic>
    <xdr:clientData/>
  </xdr:twoCellAnchor>
  <xdr:twoCellAnchor editAs="oneCell">
    <xdr:from>
      <xdr:col>8</xdr:col>
      <xdr:colOff>173180</xdr:colOff>
      <xdr:row>8</xdr:row>
      <xdr:rowOff>54751</xdr:rowOff>
    </xdr:from>
    <xdr:to>
      <xdr:col>9</xdr:col>
      <xdr:colOff>1230271</xdr:colOff>
      <xdr:row>9</xdr:row>
      <xdr:rowOff>185652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0998" y="6982024"/>
          <a:ext cx="2304000" cy="1395128"/>
        </a:xfrm>
        <a:prstGeom prst="rect">
          <a:avLst/>
        </a:prstGeom>
      </xdr:spPr>
    </xdr:pic>
    <xdr:clientData/>
  </xdr:twoCellAnchor>
  <xdr:oneCellAnchor>
    <xdr:from>
      <xdr:col>2</xdr:col>
      <xdr:colOff>1049482</xdr:colOff>
      <xdr:row>33</xdr:row>
      <xdr:rowOff>62344</xdr:rowOff>
    </xdr:from>
    <xdr:ext cx="1056409" cy="32904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4634346" y="19510662"/>
          <a:ext cx="1056409" cy="329046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r"/>
          <a:r>
            <a:rPr lang="en-US" sz="1400" b="0">
              <a:solidFill>
                <a:schemeClr val="bg1">
                  <a:lumMod val="95000"/>
                </a:schemeClr>
              </a:solidFill>
              <a:latin typeface="Red Ring" panose="020B0504020202020204" pitchFamily="34" charset="0"/>
            </a:rPr>
            <a:t>NEW</a:t>
          </a:r>
          <a:endParaRPr lang="ru-RU" sz="1400" b="0">
            <a:solidFill>
              <a:schemeClr val="bg1">
                <a:lumMod val="95000"/>
              </a:schemeClr>
            </a:solidFill>
            <a:latin typeface="Red Ring" panose="020B0504020202020204" pitchFamily="34" charset="0"/>
          </a:endParaRPr>
        </a:p>
      </xdr:txBody>
    </xdr:sp>
    <xdr:clientData/>
  </xdr:oneCellAnchor>
  <xdr:twoCellAnchor editAs="oneCell">
    <xdr:from>
      <xdr:col>0</xdr:col>
      <xdr:colOff>819396</xdr:colOff>
      <xdr:row>34</xdr:row>
      <xdr:rowOff>484910</xdr:rowOff>
    </xdr:from>
    <xdr:to>
      <xdr:col>0</xdr:col>
      <xdr:colOff>1578996</xdr:colOff>
      <xdr:row>34</xdr:row>
      <xdr:rowOff>1325689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396" y="20314228"/>
          <a:ext cx="759600" cy="840779"/>
        </a:xfrm>
        <a:prstGeom prst="rect">
          <a:avLst/>
        </a:prstGeom>
      </xdr:spPr>
    </xdr:pic>
    <xdr:clientData/>
  </xdr:twoCellAnchor>
  <xdr:twoCellAnchor editAs="oneCell">
    <xdr:from>
      <xdr:col>0</xdr:col>
      <xdr:colOff>819396</xdr:colOff>
      <xdr:row>35</xdr:row>
      <xdr:rowOff>167317</xdr:rowOff>
    </xdr:from>
    <xdr:to>
      <xdr:col>0</xdr:col>
      <xdr:colOff>1578996</xdr:colOff>
      <xdr:row>35</xdr:row>
      <xdr:rowOff>1619255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396" y="21763090"/>
          <a:ext cx="759600" cy="1451938"/>
        </a:xfrm>
        <a:prstGeom prst="rect">
          <a:avLst/>
        </a:prstGeom>
      </xdr:spPr>
    </xdr:pic>
    <xdr:clientData/>
  </xdr:twoCellAnchor>
  <xdr:twoCellAnchor editAs="oneCell">
    <xdr:from>
      <xdr:col>0</xdr:col>
      <xdr:colOff>608796</xdr:colOff>
      <xdr:row>36</xdr:row>
      <xdr:rowOff>317319</xdr:rowOff>
    </xdr:from>
    <xdr:to>
      <xdr:col>0</xdr:col>
      <xdr:colOff>1789596</xdr:colOff>
      <xdr:row>36</xdr:row>
      <xdr:rowOff>1376957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96" y="23679546"/>
          <a:ext cx="1180800" cy="1059638"/>
        </a:xfrm>
        <a:prstGeom prst="rect">
          <a:avLst/>
        </a:prstGeom>
      </xdr:spPr>
    </xdr:pic>
    <xdr:clientData/>
  </xdr:twoCellAnchor>
  <xdr:twoCellAnchor editAs="oneCell">
    <xdr:from>
      <xdr:col>0</xdr:col>
      <xdr:colOff>608796</xdr:colOff>
      <xdr:row>37</xdr:row>
      <xdr:rowOff>86319</xdr:rowOff>
    </xdr:from>
    <xdr:to>
      <xdr:col>0</xdr:col>
      <xdr:colOff>1789596</xdr:colOff>
      <xdr:row>37</xdr:row>
      <xdr:rowOff>1706462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96" y="25215001"/>
          <a:ext cx="1180800" cy="1620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18</xdr:row>
      <xdr:rowOff>57150</xdr:rowOff>
    </xdr:from>
    <xdr:to>
      <xdr:col>0</xdr:col>
      <xdr:colOff>2009775</xdr:colOff>
      <xdr:row>20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505700"/>
          <a:ext cx="19526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8</xdr:row>
      <xdr:rowOff>66675</xdr:rowOff>
    </xdr:from>
    <xdr:to>
      <xdr:col>0</xdr:col>
      <xdr:colOff>2009775</xdr:colOff>
      <xdr:row>10</xdr:row>
      <xdr:rowOff>361951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752850"/>
          <a:ext cx="1952625" cy="1133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232065</xdr:rowOff>
    </xdr:from>
    <xdr:to>
      <xdr:col>0</xdr:col>
      <xdr:colOff>2009775</xdr:colOff>
      <xdr:row>7</xdr:row>
      <xdr:rowOff>111704</xdr:rowOff>
    </xdr:to>
    <xdr:pic>
      <xdr:nvPicPr>
        <xdr:cNvPr id="4" name="Picture 5" descr="Откатные на фауресике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41840"/>
          <a:ext cx="1952625" cy="1136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151533</xdr:rowOff>
    </xdr:from>
    <xdr:to>
      <xdr:col>0</xdr:col>
      <xdr:colOff>2009775</xdr:colOff>
      <xdr:row>12</xdr:row>
      <xdr:rowOff>573231</xdr:rowOff>
    </xdr:to>
    <xdr:pic>
      <xdr:nvPicPr>
        <xdr:cNvPr id="8" name="Рисунок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095008"/>
          <a:ext cx="1952625" cy="1117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31</xdr:row>
      <xdr:rowOff>152400</xdr:rowOff>
    </xdr:from>
    <xdr:to>
      <xdr:col>0</xdr:col>
      <xdr:colOff>2114550</xdr:colOff>
      <xdr:row>34</xdr:row>
      <xdr:rowOff>276225</xdr:rowOff>
    </xdr:to>
    <xdr:pic>
      <xdr:nvPicPr>
        <xdr:cNvPr id="12" name="Рисунок 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372725"/>
          <a:ext cx="20764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577" name="Object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0A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ffectLst/>
            <a:extLst>
              <a:ext uri="{909E8E84-426E-40DD-AFC4-6F175D3DCCD1}">
                <a14:hiddenFill>
                  <a:solidFill>
                    <a:srgbClr val="4F81BD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578" name="Object 2" hidden="1">
              <a:extLst>
                <a:ext uri="{63B3BB69-23CF-44E3-9099-C40C66FF867C}">
                  <a14:compatExt spid="_x0000_s152578"/>
                </a:ext>
                <a:ext uri="{FF2B5EF4-FFF2-40B4-BE49-F238E27FC236}">
                  <a16:creationId xmlns:a16="http://schemas.microsoft.com/office/drawing/2014/main" id="{00000000-0008-0000-0A00-000002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ffectLst/>
            <a:extLst>
              <a:ext uri="{909E8E84-426E-40DD-AFC4-6F175D3DCCD1}">
                <a14:hiddenFill>
                  <a:solidFill>
                    <a:srgbClr val="4F81BD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259773</xdr:colOff>
      <xdr:row>25</xdr:row>
      <xdr:rowOff>86591</xdr:rowOff>
    </xdr:from>
    <xdr:to>
      <xdr:col>0</xdr:col>
      <xdr:colOff>1835727</xdr:colOff>
      <xdr:row>25</xdr:row>
      <xdr:rowOff>1212559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9773" y="9940636"/>
          <a:ext cx="1575954" cy="11259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49504</xdr:colOff>
      <xdr:row>4</xdr:row>
      <xdr:rowOff>116032</xdr:rowOff>
    </xdr:from>
    <xdr:to>
      <xdr:col>0</xdr:col>
      <xdr:colOff>1741504</xdr:colOff>
      <xdr:row>8</xdr:row>
      <xdr:rowOff>303802</xdr:rowOff>
    </xdr:to>
    <xdr:pic>
      <xdr:nvPicPr>
        <xdr:cNvPr id="2" name="Picture 2" descr="Ворота copy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04" y="2125807"/>
          <a:ext cx="1692000" cy="121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49504</xdr:colOff>
      <xdr:row>28</xdr:row>
      <xdr:rowOff>288347</xdr:rowOff>
    </xdr:from>
    <xdr:to>
      <xdr:col>0</xdr:col>
      <xdr:colOff>1741504</xdr:colOff>
      <xdr:row>31</xdr:row>
      <xdr:rowOff>341447</xdr:rowOff>
    </xdr:to>
    <xdr:pic>
      <xdr:nvPicPr>
        <xdr:cNvPr id="4" name="Рисунок 17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04" y="10642022"/>
          <a:ext cx="1692000" cy="111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452592</xdr:colOff>
      <xdr:row>37</xdr:row>
      <xdr:rowOff>340301</xdr:rowOff>
    </xdr:from>
    <xdr:to>
      <xdr:col>0</xdr:col>
      <xdr:colOff>1338417</xdr:colOff>
      <xdr:row>41</xdr:row>
      <xdr:rowOff>236392</xdr:rowOff>
    </xdr:to>
    <xdr:pic>
      <xdr:nvPicPr>
        <xdr:cNvPr id="5" name="Рисунок 19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2592" y="13789601"/>
          <a:ext cx="885825" cy="142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49504</xdr:colOff>
      <xdr:row>47</xdr:row>
      <xdr:rowOff>86587</xdr:rowOff>
    </xdr:from>
    <xdr:to>
      <xdr:col>0</xdr:col>
      <xdr:colOff>1741504</xdr:colOff>
      <xdr:row>49</xdr:row>
      <xdr:rowOff>281903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04" y="17117287"/>
          <a:ext cx="1692000" cy="881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621139</xdr:colOff>
      <xdr:row>51</xdr:row>
      <xdr:rowOff>69274</xdr:rowOff>
    </xdr:from>
    <xdr:to>
      <xdr:col>0</xdr:col>
      <xdr:colOff>1169869</xdr:colOff>
      <xdr:row>53</xdr:row>
      <xdr:rowOff>276547</xdr:rowOff>
    </xdr:to>
    <xdr:pic>
      <xdr:nvPicPr>
        <xdr:cNvPr id="7" name="Рисунок 2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139" y="18471574"/>
          <a:ext cx="548730" cy="893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445231</xdr:colOff>
      <xdr:row>18</xdr:row>
      <xdr:rowOff>86590</xdr:rowOff>
    </xdr:from>
    <xdr:to>
      <xdr:col>0</xdr:col>
      <xdr:colOff>1345778</xdr:colOff>
      <xdr:row>22</xdr:row>
      <xdr:rowOff>219101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31" y="7049365"/>
          <a:ext cx="900547" cy="1504110"/>
        </a:xfrm>
        <a:prstGeom prst="rect">
          <a:avLst/>
        </a:prstGeom>
      </xdr:spPr>
    </xdr:pic>
    <xdr:clientData/>
  </xdr:twoCellAnchor>
  <xdr:twoCellAnchor editAs="oneCell">
    <xdr:from>
      <xdr:col>10</xdr:col>
      <xdr:colOff>256846</xdr:colOff>
      <xdr:row>52</xdr:row>
      <xdr:rowOff>69273</xdr:rowOff>
    </xdr:from>
    <xdr:to>
      <xdr:col>10</xdr:col>
      <xdr:colOff>1254726</xdr:colOff>
      <xdr:row>53</xdr:row>
      <xdr:rowOff>298910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68121" y="18814473"/>
          <a:ext cx="997880" cy="572536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257111</xdr:colOff>
      <xdr:row>50</xdr:row>
      <xdr:rowOff>46091</xdr:rowOff>
    </xdr:from>
    <xdr:to>
      <xdr:col>10</xdr:col>
      <xdr:colOff>1254461</xdr:colOff>
      <xdr:row>51</xdr:row>
      <xdr:rowOff>275727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68386" y="18105491"/>
          <a:ext cx="997350" cy="572537"/>
        </a:xfrm>
        <a:prstGeom prst="rect">
          <a:avLst/>
        </a:prstGeom>
      </xdr:spPr>
    </xdr:pic>
    <xdr:clientData/>
  </xdr:twoCellAnchor>
  <xdr:twoCellAnchor editAs="oneCell">
    <xdr:from>
      <xdr:col>10</xdr:col>
      <xdr:colOff>591647</xdr:colOff>
      <xdr:row>48</xdr:row>
      <xdr:rowOff>86591</xdr:rowOff>
    </xdr:from>
    <xdr:to>
      <xdr:col>10</xdr:col>
      <xdr:colOff>919925</xdr:colOff>
      <xdr:row>49</xdr:row>
      <xdr:rowOff>316227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02922" y="17460191"/>
          <a:ext cx="328278" cy="572537"/>
        </a:xfrm>
        <a:prstGeom prst="rect">
          <a:avLst/>
        </a:prstGeom>
      </xdr:spPr>
    </xdr:pic>
    <xdr:clientData/>
  </xdr:twoCellAnchor>
  <xdr:twoCellAnchor editAs="oneCell">
    <xdr:from>
      <xdr:col>10</xdr:col>
      <xdr:colOff>591647</xdr:colOff>
      <xdr:row>46</xdr:row>
      <xdr:rowOff>98045</xdr:rowOff>
    </xdr:from>
    <xdr:to>
      <xdr:col>10</xdr:col>
      <xdr:colOff>919925</xdr:colOff>
      <xdr:row>47</xdr:row>
      <xdr:rowOff>327682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02922" y="16785845"/>
          <a:ext cx="328278" cy="572536"/>
        </a:xfrm>
        <a:prstGeom prst="rect">
          <a:avLst/>
        </a:prstGeom>
      </xdr:spPr>
    </xdr:pic>
    <xdr:clientData/>
  </xdr:twoCellAnchor>
  <xdr:twoCellAnchor editAs="oneCell">
    <xdr:from>
      <xdr:col>0</xdr:col>
      <xdr:colOff>49504</xdr:colOff>
      <xdr:row>12</xdr:row>
      <xdr:rowOff>69273</xdr:rowOff>
    </xdr:from>
    <xdr:to>
      <xdr:col>0</xdr:col>
      <xdr:colOff>1741504</xdr:colOff>
      <xdr:row>12</xdr:row>
      <xdr:rowOff>1095021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04" y="4326948"/>
          <a:ext cx="1692000" cy="1025748"/>
        </a:xfrm>
        <a:prstGeom prst="rect">
          <a:avLst/>
        </a:prstGeom>
      </xdr:spPr>
    </xdr:pic>
    <xdr:clientData/>
  </xdr:twoCellAnchor>
  <xdr:twoCellAnchor editAs="oneCell">
    <xdr:from>
      <xdr:col>10</xdr:col>
      <xdr:colOff>363681</xdr:colOff>
      <xdr:row>18</xdr:row>
      <xdr:rowOff>86590</xdr:rowOff>
    </xdr:from>
    <xdr:to>
      <xdr:col>10</xdr:col>
      <xdr:colOff>1276752</xdr:colOff>
      <xdr:row>22</xdr:row>
      <xdr:rowOff>285136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74956" y="7049365"/>
          <a:ext cx="913071" cy="15701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665051</xdr:colOff>
      <xdr:row>6</xdr:row>
      <xdr:rowOff>138544</xdr:rowOff>
    </xdr:from>
    <xdr:to>
      <xdr:col>1</xdr:col>
      <xdr:colOff>397086</xdr:colOff>
      <xdr:row>10</xdr:row>
      <xdr:rowOff>134317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5051" y="3428999"/>
          <a:ext cx="788444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15</xdr:row>
      <xdr:rowOff>346363</xdr:rowOff>
    </xdr:from>
    <xdr:to>
      <xdr:col>1</xdr:col>
      <xdr:colOff>992864</xdr:colOff>
      <xdr:row>18</xdr:row>
      <xdr:rowOff>188557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273" y="6684818"/>
          <a:ext cx="1980000" cy="985194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11</xdr:row>
      <xdr:rowOff>108570</xdr:rowOff>
    </xdr:from>
    <xdr:to>
      <xdr:col>1</xdr:col>
      <xdr:colOff>992864</xdr:colOff>
      <xdr:row>14</xdr:row>
      <xdr:rowOff>372111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273" y="4663252"/>
          <a:ext cx="1980000" cy="1146768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30</xdr:row>
      <xdr:rowOff>360441</xdr:rowOff>
    </xdr:from>
    <xdr:to>
      <xdr:col>1</xdr:col>
      <xdr:colOff>992863</xdr:colOff>
      <xdr:row>34</xdr:row>
      <xdr:rowOff>380003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272" y="11115032"/>
          <a:ext cx="1980000" cy="1283790"/>
        </a:xfrm>
        <a:prstGeom prst="rect">
          <a:avLst/>
        </a:prstGeom>
      </xdr:spPr>
    </xdr:pic>
    <xdr:clientData/>
  </xdr:twoCellAnchor>
  <xdr:twoCellAnchor editAs="oneCell">
    <xdr:from>
      <xdr:col>0</xdr:col>
      <xdr:colOff>609272</xdr:colOff>
      <xdr:row>25</xdr:row>
      <xdr:rowOff>190496</xdr:rowOff>
    </xdr:from>
    <xdr:to>
      <xdr:col>1</xdr:col>
      <xdr:colOff>452864</xdr:colOff>
      <xdr:row>29</xdr:row>
      <xdr:rowOff>186269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09272" y="9957951"/>
          <a:ext cx="900001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36</xdr:row>
      <xdr:rowOff>173177</xdr:rowOff>
    </xdr:from>
    <xdr:to>
      <xdr:col>1</xdr:col>
      <xdr:colOff>992863</xdr:colOff>
      <xdr:row>39</xdr:row>
      <xdr:rowOff>146492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272" y="13750632"/>
          <a:ext cx="1980000" cy="111631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936805</xdr:colOff>
      <xdr:row>31</xdr:row>
      <xdr:rowOff>115170</xdr:rowOff>
    </xdr:from>
    <xdr:to>
      <xdr:col>0</xdr:col>
      <xdr:colOff>2282263</xdr:colOff>
      <xdr:row>31</xdr:row>
      <xdr:rowOff>799170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6805" y="22737045"/>
          <a:ext cx="1345458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1038514</xdr:colOff>
      <xdr:row>30</xdr:row>
      <xdr:rowOff>162793</xdr:rowOff>
    </xdr:from>
    <xdr:to>
      <xdr:col>0</xdr:col>
      <xdr:colOff>2188077</xdr:colOff>
      <xdr:row>30</xdr:row>
      <xdr:rowOff>811660</xdr:rowOff>
    </xdr:to>
    <xdr:pic>
      <xdr:nvPicPr>
        <xdr:cNvPr id="4" name="Рисунок 15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514" y="21898843"/>
          <a:ext cx="1149563" cy="648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1182289</xdr:colOff>
      <xdr:row>32</xdr:row>
      <xdr:rowOff>119498</xdr:rowOff>
    </xdr:from>
    <xdr:to>
      <xdr:col>0</xdr:col>
      <xdr:colOff>1856251</xdr:colOff>
      <xdr:row>32</xdr:row>
      <xdr:rowOff>839498</xdr:rowOff>
    </xdr:to>
    <xdr:pic>
      <xdr:nvPicPr>
        <xdr:cNvPr id="5" name="Рисунок 1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289" y="23627198"/>
          <a:ext cx="67396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1508057</xdr:colOff>
      <xdr:row>33</xdr:row>
      <xdr:rowOff>49243</xdr:rowOff>
    </xdr:from>
    <xdr:to>
      <xdr:col>0</xdr:col>
      <xdr:colOff>1708643</xdr:colOff>
      <xdr:row>34</xdr:row>
      <xdr:rowOff>943</xdr:rowOff>
    </xdr:to>
    <xdr:pic>
      <xdr:nvPicPr>
        <xdr:cNvPr id="6" name="Рисунок 10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057" y="24442768"/>
          <a:ext cx="200586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1241656</xdr:colOff>
      <xdr:row>29</xdr:row>
      <xdr:rowOff>86593</xdr:rowOff>
    </xdr:from>
    <xdr:to>
      <xdr:col>0</xdr:col>
      <xdr:colOff>1852741</xdr:colOff>
      <xdr:row>29</xdr:row>
      <xdr:rowOff>806593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1656" y="20936818"/>
          <a:ext cx="611085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290944</xdr:colOff>
      <xdr:row>28</xdr:row>
      <xdr:rowOff>415642</xdr:rowOff>
    </xdr:from>
    <xdr:to>
      <xdr:col>0</xdr:col>
      <xdr:colOff>3237226</xdr:colOff>
      <xdr:row>28</xdr:row>
      <xdr:rowOff>955642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944" y="20122867"/>
          <a:ext cx="2946282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1344762</xdr:colOff>
      <xdr:row>27</xdr:row>
      <xdr:rowOff>82209</xdr:rowOff>
    </xdr:from>
    <xdr:to>
      <xdr:col>0</xdr:col>
      <xdr:colOff>2050827</xdr:colOff>
      <xdr:row>27</xdr:row>
      <xdr:rowOff>802209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762" y="18903609"/>
          <a:ext cx="706065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1080224</xdr:colOff>
      <xdr:row>11</xdr:row>
      <xdr:rowOff>64943</xdr:rowOff>
    </xdr:from>
    <xdr:to>
      <xdr:col>0</xdr:col>
      <xdr:colOff>2223675</xdr:colOff>
      <xdr:row>11</xdr:row>
      <xdr:rowOff>820943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24" y="6749761"/>
          <a:ext cx="1143451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995798</xdr:colOff>
      <xdr:row>12</xdr:row>
      <xdr:rowOff>91785</xdr:rowOff>
    </xdr:from>
    <xdr:to>
      <xdr:col>0</xdr:col>
      <xdr:colOff>2021059</xdr:colOff>
      <xdr:row>12</xdr:row>
      <xdr:rowOff>847785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798" y="7659830"/>
          <a:ext cx="1025261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432954</xdr:colOff>
      <xdr:row>37</xdr:row>
      <xdr:rowOff>155860</xdr:rowOff>
    </xdr:from>
    <xdr:to>
      <xdr:col>0</xdr:col>
      <xdr:colOff>2766853</xdr:colOff>
      <xdr:row>45</xdr:row>
      <xdr:rowOff>50315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954" y="26444860"/>
          <a:ext cx="2333899" cy="2713855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0</xdr:col>
      <xdr:colOff>346364</xdr:colOff>
      <xdr:row>15</xdr:row>
      <xdr:rowOff>519545</xdr:rowOff>
    </xdr:from>
    <xdr:to>
      <xdr:col>0</xdr:col>
      <xdr:colOff>2974147</xdr:colOff>
      <xdr:row>17</xdr:row>
      <xdr:rowOff>987136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>
                      <a14:foregroundMark x1="58125" y1="26813" x2="58125" y2="26813"/>
                      <a14:foregroundMark x1="77313" y1="24313" x2="77313" y2="24313"/>
                      <a14:foregroundMark x1="59250" y1="12250" x2="59250" y2="12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467" t="11830" r="6640" b="11384"/>
        <a:stretch>
          <a:fillRect/>
        </a:stretch>
      </xdr:blipFill>
      <xdr:spPr>
        <a:xfrm>
          <a:off x="346364" y="10673195"/>
          <a:ext cx="2627783" cy="237259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</xdr:row>
      <xdr:rowOff>219075</xdr:rowOff>
    </xdr:from>
    <xdr:to>
      <xdr:col>1</xdr:col>
      <xdr:colOff>2085975</xdr:colOff>
      <xdr:row>7</xdr:row>
      <xdr:rowOff>114300</xdr:rowOff>
    </xdr:to>
    <xdr:pic>
      <xdr:nvPicPr>
        <xdr:cNvPr id="157902" name="Рисунок 2">
          <a:extLst>
            <a:ext uri="{FF2B5EF4-FFF2-40B4-BE49-F238E27FC236}">
              <a16:creationId xmlns:a16="http://schemas.microsoft.com/office/drawing/2014/main" id="{00000000-0008-0000-1000-0000CE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2114550"/>
          <a:ext cx="15240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8</xdr:row>
      <xdr:rowOff>47625</xdr:rowOff>
    </xdr:from>
    <xdr:to>
      <xdr:col>1</xdr:col>
      <xdr:colOff>1762125</xdr:colOff>
      <xdr:row>8</xdr:row>
      <xdr:rowOff>876300</xdr:rowOff>
    </xdr:to>
    <xdr:pic>
      <xdr:nvPicPr>
        <xdr:cNvPr id="157903" name="Рисунок 3">
          <a:extLst>
            <a:ext uri="{FF2B5EF4-FFF2-40B4-BE49-F238E27FC236}">
              <a16:creationId xmlns:a16="http://schemas.microsoft.com/office/drawing/2014/main" id="{00000000-0008-0000-1000-0000CF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48075" y="3514725"/>
          <a:ext cx="638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14</xdr:row>
      <xdr:rowOff>114300</xdr:rowOff>
    </xdr:from>
    <xdr:to>
      <xdr:col>1</xdr:col>
      <xdr:colOff>1981200</xdr:colOff>
      <xdr:row>17</xdr:row>
      <xdr:rowOff>180975</xdr:rowOff>
    </xdr:to>
    <xdr:pic>
      <xdr:nvPicPr>
        <xdr:cNvPr id="157906" name="Рисунок 6">
          <a:extLst>
            <a:ext uri="{FF2B5EF4-FFF2-40B4-BE49-F238E27FC236}">
              <a16:creationId xmlns:a16="http://schemas.microsoft.com/office/drawing/2014/main" id="{00000000-0008-0000-1000-0000D2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6743700"/>
          <a:ext cx="13430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1095375</xdr:colOff>
      <xdr:row>18</xdr:row>
      <xdr:rowOff>57150</xdr:rowOff>
    </xdr:from>
    <xdr:to>
      <xdr:col>1</xdr:col>
      <xdr:colOff>1733550</xdr:colOff>
      <xdr:row>18</xdr:row>
      <xdr:rowOff>885825</xdr:rowOff>
    </xdr:to>
    <xdr:pic>
      <xdr:nvPicPr>
        <xdr:cNvPr id="157907" name="Рисунок 7">
          <a:extLst>
            <a:ext uri="{FF2B5EF4-FFF2-40B4-BE49-F238E27FC236}">
              <a16:creationId xmlns:a16="http://schemas.microsoft.com/office/drawing/2014/main" id="{00000000-0008-0000-1000-0000D3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0" y="7943850"/>
          <a:ext cx="638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25</xdr:row>
      <xdr:rowOff>66675</xdr:rowOff>
    </xdr:from>
    <xdr:to>
      <xdr:col>1</xdr:col>
      <xdr:colOff>1847850</xdr:colOff>
      <xdr:row>29</xdr:row>
      <xdr:rowOff>219074</xdr:rowOff>
    </xdr:to>
    <xdr:pic>
      <xdr:nvPicPr>
        <xdr:cNvPr id="157908" name="Рисунок 8">
          <a:extLst>
            <a:ext uri="{FF2B5EF4-FFF2-40B4-BE49-F238E27FC236}">
              <a16:creationId xmlns:a16="http://schemas.microsoft.com/office/drawing/2014/main" id="{00000000-0008-0000-1000-0000D4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10477500"/>
          <a:ext cx="10858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30</xdr:row>
      <xdr:rowOff>85725</xdr:rowOff>
    </xdr:from>
    <xdr:to>
      <xdr:col>1</xdr:col>
      <xdr:colOff>2238375</xdr:colOff>
      <xdr:row>33</xdr:row>
      <xdr:rowOff>266700</xdr:rowOff>
    </xdr:to>
    <xdr:pic>
      <xdr:nvPicPr>
        <xdr:cNvPr id="157909" name="Рисунок 9">
          <a:extLst>
            <a:ext uri="{FF2B5EF4-FFF2-40B4-BE49-F238E27FC236}">
              <a16:creationId xmlns:a16="http://schemas.microsoft.com/office/drawing/2014/main" id="{00000000-0008-0000-1000-0000D5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12068175"/>
          <a:ext cx="1743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1087582</xdr:colOff>
      <xdr:row>38</xdr:row>
      <xdr:rowOff>64943</xdr:rowOff>
    </xdr:from>
    <xdr:to>
      <xdr:col>1</xdr:col>
      <xdr:colOff>1663582</xdr:colOff>
      <xdr:row>38</xdr:row>
      <xdr:rowOff>892943</xdr:rowOff>
    </xdr:to>
    <xdr:pic>
      <xdr:nvPicPr>
        <xdr:cNvPr id="157910" name="Рисунок 13">
          <a:extLst>
            <a:ext uri="{FF2B5EF4-FFF2-40B4-BE49-F238E27FC236}">
              <a16:creationId xmlns:a16="http://schemas.microsoft.com/office/drawing/2014/main" id="{00000000-0008-0000-1000-0000D6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6037" y="16707716"/>
          <a:ext cx="576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39</xdr:row>
      <xdr:rowOff>114300</xdr:rowOff>
    </xdr:from>
    <xdr:to>
      <xdr:col>1</xdr:col>
      <xdr:colOff>1447800</xdr:colOff>
      <xdr:row>39</xdr:row>
      <xdr:rowOff>838200</xdr:rowOff>
    </xdr:to>
    <xdr:pic>
      <xdr:nvPicPr>
        <xdr:cNvPr id="157911" name="Рисунок 14">
          <a:extLst>
            <a:ext uri="{FF2B5EF4-FFF2-40B4-BE49-F238E27FC236}">
              <a16:creationId xmlns:a16="http://schemas.microsoft.com/office/drawing/2014/main" id="{00000000-0008-0000-1000-0000D7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15878175"/>
          <a:ext cx="933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1552575</xdr:colOff>
      <xdr:row>39</xdr:row>
      <xdr:rowOff>76200</xdr:rowOff>
    </xdr:from>
    <xdr:to>
      <xdr:col>1</xdr:col>
      <xdr:colOff>2943225</xdr:colOff>
      <xdr:row>39</xdr:row>
      <xdr:rowOff>876300</xdr:rowOff>
    </xdr:to>
    <xdr:pic>
      <xdr:nvPicPr>
        <xdr:cNvPr id="157912" name="Рисунок 15">
          <a:extLst>
            <a:ext uri="{FF2B5EF4-FFF2-40B4-BE49-F238E27FC236}">
              <a16:creationId xmlns:a16="http://schemas.microsoft.com/office/drawing/2014/main" id="{00000000-0008-0000-1000-0000D8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76700" y="15840075"/>
          <a:ext cx="13906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1073732</xdr:colOff>
      <xdr:row>40</xdr:row>
      <xdr:rowOff>86590</xdr:rowOff>
    </xdr:from>
    <xdr:to>
      <xdr:col>1</xdr:col>
      <xdr:colOff>1872400</xdr:colOff>
      <xdr:row>40</xdr:row>
      <xdr:rowOff>878590</xdr:rowOff>
    </xdr:to>
    <xdr:pic>
      <xdr:nvPicPr>
        <xdr:cNvPr id="157914" name="Рисунок 18">
          <a:extLst>
            <a:ext uri="{FF2B5EF4-FFF2-40B4-BE49-F238E27FC236}">
              <a16:creationId xmlns:a16="http://schemas.microsoft.com/office/drawing/2014/main" id="{00000000-0008-0000-1000-0000DA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"/>
        <a:stretch>
          <a:fillRect/>
        </a:stretch>
      </xdr:blipFill>
      <xdr:spPr bwMode="auto">
        <a:xfrm>
          <a:off x="3602187" y="18686317"/>
          <a:ext cx="798668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1114424</xdr:colOff>
      <xdr:row>41</xdr:row>
      <xdr:rowOff>264965</xdr:rowOff>
    </xdr:from>
    <xdr:to>
      <xdr:col>1</xdr:col>
      <xdr:colOff>1865670</xdr:colOff>
      <xdr:row>41</xdr:row>
      <xdr:rowOff>768965</xdr:rowOff>
    </xdr:to>
    <xdr:pic>
      <xdr:nvPicPr>
        <xdr:cNvPr id="157919" name="Рисунок 27">
          <a:extLst>
            <a:ext uri="{FF2B5EF4-FFF2-40B4-BE49-F238E27FC236}">
              <a16:creationId xmlns:a16="http://schemas.microsoft.com/office/drawing/2014/main" id="{00000000-0008-0000-1000-0000DF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42879" y="19817192"/>
          <a:ext cx="751246" cy="50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42</xdr:row>
      <xdr:rowOff>47625</xdr:rowOff>
    </xdr:from>
    <xdr:to>
      <xdr:col>1</xdr:col>
      <xdr:colOff>1971675</xdr:colOff>
      <xdr:row>43</xdr:row>
      <xdr:rowOff>276225</xdr:rowOff>
    </xdr:to>
    <xdr:pic>
      <xdr:nvPicPr>
        <xdr:cNvPr id="157920" name="Рисунок 28">
          <a:extLst>
            <a:ext uri="{FF2B5EF4-FFF2-40B4-BE49-F238E27FC236}">
              <a16:creationId xmlns:a16="http://schemas.microsoft.com/office/drawing/2014/main" id="{00000000-0008-0000-1000-0000E0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24225" y="18649950"/>
          <a:ext cx="1171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45</xdr:row>
      <xdr:rowOff>57150</xdr:rowOff>
    </xdr:from>
    <xdr:to>
      <xdr:col>1</xdr:col>
      <xdr:colOff>1752600</xdr:colOff>
      <xdr:row>45</xdr:row>
      <xdr:rowOff>923925</xdr:rowOff>
    </xdr:to>
    <xdr:pic>
      <xdr:nvPicPr>
        <xdr:cNvPr id="157921" name="Рисунок 29">
          <a:extLst>
            <a:ext uri="{FF2B5EF4-FFF2-40B4-BE49-F238E27FC236}">
              <a16:creationId xmlns:a16="http://schemas.microsoft.com/office/drawing/2014/main" id="{00000000-0008-0000-1000-0000E1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2350" y="20240625"/>
          <a:ext cx="7143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1190625</xdr:colOff>
      <xdr:row>46</xdr:row>
      <xdr:rowOff>76200</xdr:rowOff>
    </xdr:from>
    <xdr:to>
      <xdr:col>1</xdr:col>
      <xdr:colOff>1495425</xdr:colOff>
      <xdr:row>46</xdr:row>
      <xdr:rowOff>904875</xdr:rowOff>
    </xdr:to>
    <xdr:pic>
      <xdr:nvPicPr>
        <xdr:cNvPr id="157922" name="Рисунок 30">
          <a:extLst>
            <a:ext uri="{FF2B5EF4-FFF2-40B4-BE49-F238E27FC236}">
              <a16:creationId xmlns:a16="http://schemas.microsoft.com/office/drawing/2014/main" id="{00000000-0008-0000-1000-0000E2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0" y="21212175"/>
          <a:ext cx="304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48</xdr:row>
      <xdr:rowOff>85725</xdr:rowOff>
    </xdr:from>
    <xdr:to>
      <xdr:col>1</xdr:col>
      <xdr:colOff>2009775</xdr:colOff>
      <xdr:row>48</xdr:row>
      <xdr:rowOff>876300</xdr:rowOff>
    </xdr:to>
    <xdr:pic>
      <xdr:nvPicPr>
        <xdr:cNvPr id="157924" name="Рисунок 34">
          <a:extLst>
            <a:ext uri="{FF2B5EF4-FFF2-40B4-BE49-F238E27FC236}">
              <a16:creationId xmlns:a16="http://schemas.microsoft.com/office/drawing/2014/main" id="{00000000-0008-0000-1000-0000E4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19450" y="26612850"/>
          <a:ext cx="13144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20</xdr:row>
      <xdr:rowOff>66675</xdr:rowOff>
    </xdr:from>
    <xdr:to>
      <xdr:col>1</xdr:col>
      <xdr:colOff>1400175</xdr:colOff>
      <xdr:row>24</xdr:row>
      <xdr:rowOff>219075</xdr:rowOff>
    </xdr:to>
    <xdr:pic>
      <xdr:nvPicPr>
        <xdr:cNvPr id="157925" name="Рисунок 35">
          <a:extLst>
            <a:ext uri="{FF2B5EF4-FFF2-40B4-BE49-F238E27FC236}">
              <a16:creationId xmlns:a16="http://schemas.microsoft.com/office/drawing/2014/main" id="{00000000-0008-0000-1000-0000E5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4650" y="8905875"/>
          <a:ext cx="10096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1457325</xdr:colOff>
      <xdr:row>20</xdr:row>
      <xdr:rowOff>66675</xdr:rowOff>
    </xdr:from>
    <xdr:to>
      <xdr:col>1</xdr:col>
      <xdr:colOff>2028825</xdr:colOff>
      <xdr:row>24</xdr:row>
      <xdr:rowOff>219075</xdr:rowOff>
    </xdr:to>
    <xdr:pic>
      <xdr:nvPicPr>
        <xdr:cNvPr id="157926" name="Рисунок 36">
          <a:extLst>
            <a:ext uri="{FF2B5EF4-FFF2-40B4-BE49-F238E27FC236}">
              <a16:creationId xmlns:a16="http://schemas.microsoft.com/office/drawing/2014/main" id="{00000000-0008-0000-1000-0000E6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1450" y="8905875"/>
          <a:ext cx="5715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34</xdr:row>
      <xdr:rowOff>66675</xdr:rowOff>
    </xdr:from>
    <xdr:to>
      <xdr:col>1</xdr:col>
      <xdr:colOff>1276350</xdr:colOff>
      <xdr:row>35</xdr:row>
      <xdr:rowOff>333374</xdr:rowOff>
    </xdr:to>
    <xdr:pic>
      <xdr:nvPicPr>
        <xdr:cNvPr id="157927" name="Рисунок 37">
          <a:extLst>
            <a:ext uri="{FF2B5EF4-FFF2-40B4-BE49-F238E27FC236}">
              <a16:creationId xmlns:a16="http://schemas.microsoft.com/office/drawing/2014/main" id="{00000000-0008-0000-1000-0000E7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0" y="13620750"/>
          <a:ext cx="371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1267153</xdr:colOff>
      <xdr:row>34</xdr:row>
      <xdr:rowOff>246336</xdr:rowOff>
    </xdr:from>
    <xdr:to>
      <xdr:col>2</xdr:col>
      <xdr:colOff>409828</xdr:colOff>
      <xdr:row>34</xdr:row>
      <xdr:rowOff>246336</xdr:rowOff>
    </xdr:to>
    <xdr:cxnSp macro="">
      <xdr:nvCxnSpPr>
        <xdr:cNvPr id="39" name="Прямая со стрелкой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CxnSpPr/>
      </xdr:nvCxnSpPr>
      <xdr:spPr>
        <a:xfrm>
          <a:off x="3791278" y="13800411"/>
          <a:ext cx="2124000" cy="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2491153</xdr:colOff>
      <xdr:row>35</xdr:row>
      <xdr:rowOff>341586</xdr:rowOff>
    </xdr:from>
    <xdr:to>
      <xdr:col>2</xdr:col>
      <xdr:colOff>409828</xdr:colOff>
      <xdr:row>35</xdr:row>
      <xdr:rowOff>341586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5015278" y="14524311"/>
          <a:ext cx="900000" cy="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1009650</xdr:colOff>
      <xdr:row>47</xdr:row>
      <xdr:rowOff>104775</xdr:rowOff>
    </xdr:from>
    <xdr:to>
      <xdr:col>1</xdr:col>
      <xdr:colOff>2000250</xdr:colOff>
      <xdr:row>47</xdr:row>
      <xdr:rowOff>1190625</xdr:rowOff>
    </xdr:to>
    <xdr:pic>
      <xdr:nvPicPr>
        <xdr:cNvPr id="157933" name="Рисунок 43">
          <a:extLst>
            <a:ext uri="{FF2B5EF4-FFF2-40B4-BE49-F238E27FC236}">
              <a16:creationId xmlns:a16="http://schemas.microsoft.com/office/drawing/2014/main" id="{00000000-0008-0000-1000-0000ED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3775" y="25365075"/>
          <a:ext cx="9906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44</xdr:row>
      <xdr:rowOff>76200</xdr:rowOff>
    </xdr:from>
    <xdr:to>
      <xdr:col>1</xdr:col>
      <xdr:colOff>1419225</xdr:colOff>
      <xdr:row>44</xdr:row>
      <xdr:rowOff>904875</xdr:rowOff>
    </xdr:to>
    <xdr:pic>
      <xdr:nvPicPr>
        <xdr:cNvPr id="157934" name="Рисунок 44">
          <a:extLst>
            <a:ext uri="{FF2B5EF4-FFF2-40B4-BE49-F238E27FC236}">
              <a16:creationId xmlns:a16="http://schemas.microsoft.com/office/drawing/2014/main" id="{00000000-0008-0000-1000-0000EE6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8550" y="19307175"/>
          <a:ext cx="304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1193223</xdr:colOff>
      <xdr:row>36</xdr:row>
      <xdr:rowOff>73601</xdr:rowOff>
    </xdr:from>
    <xdr:to>
      <xdr:col>1</xdr:col>
      <xdr:colOff>1531391</xdr:colOff>
      <xdr:row>36</xdr:row>
      <xdr:rowOff>901601</xdr:rowOff>
    </xdr:to>
    <xdr:pic>
      <xdr:nvPicPr>
        <xdr:cNvPr id="36" name="Рисунок 36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7348" y="14884976"/>
          <a:ext cx="338168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1212272</xdr:colOff>
      <xdr:row>37</xdr:row>
      <xdr:rowOff>69272</xdr:rowOff>
    </xdr:from>
    <xdr:to>
      <xdr:col>1</xdr:col>
      <xdr:colOff>1473072</xdr:colOff>
      <xdr:row>37</xdr:row>
      <xdr:rowOff>897272</xdr:rowOff>
    </xdr:to>
    <xdr:pic>
      <xdr:nvPicPr>
        <xdr:cNvPr id="37" name="Рисунок 8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36397" y="15833147"/>
          <a:ext cx="2608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1267153</xdr:colOff>
      <xdr:row>34</xdr:row>
      <xdr:rowOff>246336</xdr:rowOff>
    </xdr:from>
    <xdr:to>
      <xdr:col>2</xdr:col>
      <xdr:colOff>409828</xdr:colOff>
      <xdr:row>34</xdr:row>
      <xdr:rowOff>246336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CxnSpPr/>
      </xdr:nvCxnSpPr>
      <xdr:spPr>
        <a:xfrm>
          <a:off x="3791278" y="13800411"/>
          <a:ext cx="2124000" cy="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2491153</xdr:colOff>
      <xdr:row>35</xdr:row>
      <xdr:rowOff>341586</xdr:rowOff>
    </xdr:from>
    <xdr:to>
      <xdr:col>2</xdr:col>
      <xdr:colOff>409828</xdr:colOff>
      <xdr:row>35</xdr:row>
      <xdr:rowOff>341586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CxnSpPr/>
      </xdr:nvCxnSpPr>
      <xdr:spPr>
        <a:xfrm>
          <a:off x="5015278" y="14524311"/>
          <a:ext cx="900000" cy="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2043543</xdr:colOff>
      <xdr:row>34</xdr:row>
      <xdr:rowOff>363682</xdr:rowOff>
    </xdr:from>
    <xdr:to>
      <xdr:col>1</xdr:col>
      <xdr:colOff>2388154</xdr:colOff>
      <xdr:row>35</xdr:row>
      <xdr:rowOff>532227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4571998" y="13906500"/>
          <a:ext cx="344611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848590</xdr:colOff>
      <xdr:row>9</xdr:row>
      <xdr:rowOff>57149</xdr:rowOff>
    </xdr:from>
    <xdr:to>
      <xdr:col>1</xdr:col>
      <xdr:colOff>1858948</xdr:colOff>
      <xdr:row>12</xdr:row>
      <xdr:rowOff>263167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77045" y="4525240"/>
          <a:ext cx="1010358" cy="114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1104900</xdr:colOff>
      <xdr:row>13</xdr:row>
      <xdr:rowOff>47625</xdr:rowOff>
    </xdr:from>
    <xdr:to>
      <xdr:col>1</xdr:col>
      <xdr:colOff>1743075</xdr:colOff>
      <xdr:row>13</xdr:row>
      <xdr:rowOff>876300</xdr:rowOff>
    </xdr:to>
    <xdr:pic>
      <xdr:nvPicPr>
        <xdr:cNvPr id="4" name="Рисунок 5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29025" y="5781675"/>
          <a:ext cx="638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39610</xdr:colOff>
      <xdr:row>16</xdr:row>
      <xdr:rowOff>216483</xdr:rowOff>
    </xdr:from>
    <xdr:to>
      <xdr:col>1</xdr:col>
      <xdr:colOff>989676</xdr:colOff>
      <xdr:row>21</xdr:row>
      <xdr:rowOff>327483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9610" y="6780074"/>
          <a:ext cx="2006475" cy="2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34847</xdr:colOff>
      <xdr:row>25</xdr:row>
      <xdr:rowOff>230337</xdr:rowOff>
    </xdr:from>
    <xdr:to>
      <xdr:col>1</xdr:col>
      <xdr:colOff>994438</xdr:colOff>
      <xdr:row>30</xdr:row>
      <xdr:rowOff>341337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4847" y="10274882"/>
          <a:ext cx="2016000" cy="2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34847</xdr:colOff>
      <xdr:row>34</xdr:row>
      <xdr:rowOff>273634</xdr:rowOff>
    </xdr:from>
    <xdr:to>
      <xdr:col>1</xdr:col>
      <xdr:colOff>994438</xdr:colOff>
      <xdr:row>39</xdr:row>
      <xdr:rowOff>384634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4847" y="13799134"/>
          <a:ext cx="2016000" cy="2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34847</xdr:colOff>
      <xdr:row>45</xdr:row>
      <xdr:rowOff>8</xdr:rowOff>
    </xdr:from>
    <xdr:to>
      <xdr:col>1</xdr:col>
      <xdr:colOff>994438</xdr:colOff>
      <xdr:row>50</xdr:row>
      <xdr:rowOff>111008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4847" y="17768463"/>
          <a:ext cx="2016000" cy="2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34847</xdr:colOff>
      <xdr:row>70</xdr:row>
      <xdr:rowOff>244934</xdr:rowOff>
    </xdr:from>
    <xdr:to>
      <xdr:col>1</xdr:col>
      <xdr:colOff>994438</xdr:colOff>
      <xdr:row>76</xdr:row>
      <xdr:rowOff>96162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847" y="28317707"/>
          <a:ext cx="2016000" cy="2016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40355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3726A9-4E92-4C0C-A886-31574ED4900F}"/>
            </a:ext>
          </a:extLst>
        </xdr:cNvPr>
        <xdr:cNvSpPr txBox="1"/>
      </xdr:nvSpPr>
      <xdr:spPr>
        <a:xfrm>
          <a:off x="0" y="0"/>
          <a:ext cx="4340355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>
              <a:solidFill>
                <a:srgbClr val="FF0000"/>
              </a:solidFill>
            </a:rPr>
            <a:t>ВАЖНО!</a:t>
          </a:r>
        </a:p>
        <a:p>
          <a:r>
            <a:rPr lang="ru-RU" sz="1100"/>
            <a:t>Промежуто</a:t>
          </a:r>
          <a:r>
            <a:rPr lang="ru-RU" sz="1100" baseline="0"/>
            <a:t>к м/у штакетинами для </a:t>
          </a:r>
          <a:r>
            <a:rPr lang="ru-RU" sz="1100" b="1" baseline="0"/>
            <a:t>Шахматки</a:t>
          </a:r>
          <a:r>
            <a:rPr lang="ru-RU" sz="1100" baseline="0"/>
            <a:t> должен быть не более:</a:t>
          </a: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 Круглый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/>
            <a:t>- 115 мм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Прямоугольный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- 100 мм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Полукруглый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Slim GL</a:t>
          </a:r>
          <a:r>
            <a:rPr lang="en-US"/>
            <a:t> - 80 </a:t>
          </a:r>
          <a:r>
            <a:rPr lang="ru-RU"/>
            <a:t>мм</a:t>
          </a:r>
          <a:endParaRPr lang="ru-RU" sz="1100"/>
        </a:p>
      </xdr:txBody>
    </xdr:sp>
    <xdr:clientData/>
  </xdr:oneCellAnchor>
  <xdr:twoCellAnchor editAs="absolute">
    <xdr:from>
      <xdr:col>2</xdr:col>
      <xdr:colOff>630170</xdr:colOff>
      <xdr:row>2</xdr:row>
      <xdr:rowOff>121920</xdr:rowOff>
    </xdr:from>
    <xdr:to>
      <xdr:col>8</xdr:col>
      <xdr:colOff>491754</xdr:colOff>
      <xdr:row>16</xdr:row>
      <xdr:rowOff>68580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F514135C-6451-455F-91B8-9266343053F8}"/>
            </a:ext>
          </a:extLst>
        </xdr:cNvPr>
        <xdr:cNvGrpSpPr/>
      </xdr:nvGrpSpPr>
      <xdr:grpSpPr>
        <a:xfrm>
          <a:off x="4954520" y="502920"/>
          <a:ext cx="4719334" cy="2613660"/>
          <a:chOff x="10576447" y="1279470"/>
          <a:chExt cx="5854485" cy="2681462"/>
        </a:xfrm>
      </xdr:grpSpPr>
      <xdr:grpSp>
        <xdr:nvGrpSpPr>
          <xdr:cNvPr id="4" name="Группа 3">
            <a:extLst>
              <a:ext uri="{FF2B5EF4-FFF2-40B4-BE49-F238E27FC236}">
                <a16:creationId xmlns:a16="http://schemas.microsoft.com/office/drawing/2014/main" id="{8C9DC032-DBD2-1BB1-7792-725AE0A46351}"/>
              </a:ext>
            </a:extLst>
          </xdr:cNvPr>
          <xdr:cNvGrpSpPr/>
        </xdr:nvGrpSpPr>
        <xdr:grpSpPr>
          <a:xfrm>
            <a:off x="10576447" y="1318260"/>
            <a:ext cx="1928302" cy="2642672"/>
            <a:chOff x="8886264" y="1980079"/>
            <a:chExt cx="1881349" cy="2722010"/>
          </a:xfrm>
        </xdr:grpSpPr>
        <xdr:grpSp>
          <xdr:nvGrpSpPr>
            <xdr:cNvPr id="75" name="Группа 74">
              <a:extLst>
                <a:ext uri="{FF2B5EF4-FFF2-40B4-BE49-F238E27FC236}">
                  <a16:creationId xmlns:a16="http://schemas.microsoft.com/office/drawing/2014/main" id="{9988AFD9-0E75-ED17-A2A5-406400E89432}"/>
                </a:ext>
              </a:extLst>
            </xdr:cNvPr>
            <xdr:cNvGrpSpPr/>
          </xdr:nvGrpSpPr>
          <xdr:grpSpPr>
            <a:xfrm>
              <a:off x="9700292" y="1980079"/>
              <a:ext cx="969428" cy="2404267"/>
              <a:chOff x="9316706" y="1968012"/>
              <a:chExt cx="969428" cy="2407284"/>
            </a:xfrm>
          </xdr:grpSpPr>
          <xdr:grpSp>
            <xdr:nvGrpSpPr>
              <xdr:cNvPr id="77" name="Группа 76">
                <a:extLst>
                  <a:ext uri="{FF2B5EF4-FFF2-40B4-BE49-F238E27FC236}">
                    <a16:creationId xmlns:a16="http://schemas.microsoft.com/office/drawing/2014/main" id="{C776E59A-4378-A9D0-E089-68E0FD9EDBC6}"/>
                  </a:ext>
                </a:extLst>
              </xdr:cNvPr>
              <xdr:cNvGrpSpPr/>
            </xdr:nvGrpSpPr>
            <xdr:grpSpPr>
              <a:xfrm>
                <a:off x="9316706" y="1968012"/>
                <a:ext cx="255152" cy="2313109"/>
                <a:chOff x="9361714" y="4207329"/>
                <a:chExt cx="255152" cy="2314575"/>
              </a:xfrm>
            </xdr:grpSpPr>
            <xdr:sp macro="" textlink="">
              <xdr:nvSpPr>
                <xdr:cNvPr id="92" name="Прямоугольник 91">
                  <a:extLst>
                    <a:ext uri="{FF2B5EF4-FFF2-40B4-BE49-F238E27FC236}">
                      <a16:creationId xmlns:a16="http://schemas.microsoft.com/office/drawing/2014/main" id="{48A90402-BB59-1541-945E-5E7CE62B3058}"/>
                    </a:ext>
                  </a:extLst>
                </xdr:cNvPr>
                <xdr:cNvSpPr/>
              </xdr:nvSpPr>
              <xdr:spPr>
                <a:xfrm>
                  <a:off x="9424477" y="4254954"/>
                  <a:ext cx="105966" cy="2266950"/>
                </a:xfrm>
                <a:prstGeom prst="rect">
                  <a:avLst/>
                </a:prstGeom>
                <a:noFill/>
                <a:ln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3" name="Правая круглая скобка 92">
                  <a:extLst>
                    <a:ext uri="{FF2B5EF4-FFF2-40B4-BE49-F238E27FC236}">
                      <a16:creationId xmlns:a16="http://schemas.microsoft.com/office/drawing/2014/main" id="{6C2DA73B-F7D9-A33F-A488-8C897BF2A52F}"/>
                    </a:ext>
                  </a:extLst>
                </xdr:cNvPr>
                <xdr:cNvSpPr/>
              </xdr:nvSpPr>
              <xdr:spPr>
                <a:xfrm rot="16200000">
                  <a:off x="9427030" y="4142013"/>
                  <a:ext cx="124520" cy="255152"/>
                </a:xfrm>
                <a:prstGeom prst="rightBracket">
                  <a:avLst>
                    <a:gd name="adj" fmla="val 0"/>
                  </a:avLst>
                </a:prstGeom>
                <a:ln w="19050"/>
              </xdr:spPr>
              <xdr:style>
                <a:lnRef idx="1">
                  <a:schemeClr val="accent3"/>
                </a:lnRef>
                <a:fillRef idx="0">
                  <a:schemeClr val="accent3"/>
                </a:fillRef>
                <a:effectRef idx="0">
                  <a:schemeClr val="accent3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4" name="Прямоугольник 93">
                  <a:extLst>
                    <a:ext uri="{FF2B5EF4-FFF2-40B4-BE49-F238E27FC236}">
                      <a16:creationId xmlns:a16="http://schemas.microsoft.com/office/drawing/2014/main" id="{A4CE2BC5-AD2D-BE3C-FC83-9A6D74057D55}"/>
                    </a:ext>
                  </a:extLst>
                </xdr:cNvPr>
                <xdr:cNvSpPr/>
              </xdr:nvSpPr>
              <xdr:spPr>
                <a:xfrm>
                  <a:off x="9547170" y="4259368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5" name="Прямоугольник 94">
                  <a:extLst>
                    <a:ext uri="{FF2B5EF4-FFF2-40B4-BE49-F238E27FC236}">
                      <a16:creationId xmlns:a16="http://schemas.microsoft.com/office/drawing/2014/main" id="{D8D99030-8D88-C520-4A67-38166B93C35A}"/>
                    </a:ext>
                  </a:extLst>
                </xdr:cNvPr>
                <xdr:cNvSpPr/>
              </xdr:nvSpPr>
              <xdr:spPr>
                <a:xfrm>
                  <a:off x="9547170" y="473073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6" name="Прямоугольник 95">
                  <a:extLst>
                    <a:ext uri="{FF2B5EF4-FFF2-40B4-BE49-F238E27FC236}">
                      <a16:creationId xmlns:a16="http://schemas.microsoft.com/office/drawing/2014/main" id="{173B23F1-266E-B863-C6EA-C7BACB493965}"/>
                    </a:ext>
                  </a:extLst>
                </xdr:cNvPr>
                <xdr:cNvSpPr/>
              </xdr:nvSpPr>
              <xdr:spPr>
                <a:xfrm>
                  <a:off x="9547170" y="5201181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7" name="Прямоугольник 96">
                  <a:extLst>
                    <a:ext uri="{FF2B5EF4-FFF2-40B4-BE49-F238E27FC236}">
                      <a16:creationId xmlns:a16="http://schemas.microsoft.com/office/drawing/2014/main" id="{C3907E05-182E-5502-F236-CF8FDCB351B7}"/>
                    </a:ext>
                  </a:extLst>
                </xdr:cNvPr>
                <xdr:cNvSpPr/>
              </xdr:nvSpPr>
              <xdr:spPr>
                <a:xfrm>
                  <a:off x="9547170" y="5671623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8" name="Прямоугольник 97">
                  <a:extLst>
                    <a:ext uri="{FF2B5EF4-FFF2-40B4-BE49-F238E27FC236}">
                      <a16:creationId xmlns:a16="http://schemas.microsoft.com/office/drawing/2014/main" id="{A5E7C1C1-F1A5-FB9F-A996-B0DEFCAA6AF3}"/>
                    </a:ext>
                  </a:extLst>
                </xdr:cNvPr>
                <xdr:cNvSpPr/>
              </xdr:nvSpPr>
              <xdr:spPr>
                <a:xfrm>
                  <a:off x="9547170" y="6142065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</xdr:grpSp>
          <xdr:grpSp>
            <xdr:nvGrpSpPr>
              <xdr:cNvPr id="78" name="Группа 77">
                <a:extLst>
                  <a:ext uri="{FF2B5EF4-FFF2-40B4-BE49-F238E27FC236}">
                    <a16:creationId xmlns:a16="http://schemas.microsoft.com/office/drawing/2014/main" id="{96409F1F-A506-58EB-CD26-13966A6C4502}"/>
                  </a:ext>
                </a:extLst>
              </xdr:cNvPr>
              <xdr:cNvGrpSpPr/>
            </xdr:nvGrpSpPr>
            <xdr:grpSpPr>
              <a:xfrm>
                <a:off x="9525022" y="2402411"/>
                <a:ext cx="761112" cy="1972885"/>
                <a:chOff x="9525022" y="2402411"/>
                <a:chExt cx="761112" cy="1972885"/>
              </a:xfrm>
            </xdr:grpSpPr>
            <xdr:grpSp>
              <xdr:nvGrpSpPr>
                <xdr:cNvPr id="79" name="Группа 78">
                  <a:extLst>
                    <a:ext uri="{FF2B5EF4-FFF2-40B4-BE49-F238E27FC236}">
                      <a16:creationId xmlns:a16="http://schemas.microsoft.com/office/drawing/2014/main" id="{78E97D8A-FEFF-0F05-134C-1D0FB086D332}"/>
                    </a:ext>
                  </a:extLst>
                </xdr:cNvPr>
                <xdr:cNvGrpSpPr/>
              </xdr:nvGrpSpPr>
              <xdr:grpSpPr>
                <a:xfrm>
                  <a:off x="9525022" y="2402411"/>
                  <a:ext cx="291747" cy="1952840"/>
                  <a:chOff x="9525022" y="2402411"/>
                  <a:chExt cx="291747" cy="1952840"/>
                </a:xfrm>
              </xdr:grpSpPr>
              <xdr:cxnSp macro="">
                <xdr:nvCxnSpPr>
                  <xdr:cNvPr id="83" name="Прямая соединительная линия 82">
                    <a:extLst>
                      <a:ext uri="{FF2B5EF4-FFF2-40B4-BE49-F238E27FC236}">
                        <a16:creationId xmlns:a16="http://schemas.microsoft.com/office/drawing/2014/main" id="{EBDD4329-8916-CCF7-2737-717C02482141}"/>
                      </a:ext>
                    </a:extLst>
                  </xdr:cNvPr>
                  <xdr:cNvCxnSpPr/>
                </xdr:nvCxnSpPr>
                <xdr:spPr>
                  <a:xfrm>
                    <a:off x="9525022" y="4195714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4" name="Прямая соединительная линия 83">
                    <a:extLst>
                      <a:ext uri="{FF2B5EF4-FFF2-40B4-BE49-F238E27FC236}">
                        <a16:creationId xmlns:a16="http://schemas.microsoft.com/office/drawing/2014/main" id="{F4764E22-FD1B-B71C-6316-4AFACE34CDA3}"/>
                      </a:ext>
                    </a:extLst>
                  </xdr:cNvPr>
                  <xdr:cNvCxnSpPr/>
                </xdr:nvCxnSpPr>
                <xdr:spPr>
                  <a:xfrm>
                    <a:off x="9525022" y="4287653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5" name="Прямая соединительная линия 84">
                    <a:extLst>
                      <a:ext uri="{FF2B5EF4-FFF2-40B4-BE49-F238E27FC236}">
                        <a16:creationId xmlns:a16="http://schemas.microsoft.com/office/drawing/2014/main" id="{39FA0B65-DC41-DBC2-EA53-3F1EAEC3C18C}"/>
                      </a:ext>
                    </a:extLst>
                  </xdr:cNvPr>
                  <xdr:cNvCxnSpPr/>
                </xdr:nvCxnSpPr>
                <xdr:spPr>
                  <a:xfrm flipV="1">
                    <a:off x="9740103" y="4124349"/>
                    <a:ext cx="0" cy="230902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6" name="Прямая соединительная линия 85">
                    <a:extLst>
                      <a:ext uri="{FF2B5EF4-FFF2-40B4-BE49-F238E27FC236}">
                        <a16:creationId xmlns:a16="http://schemas.microsoft.com/office/drawing/2014/main" id="{574B6684-3D2C-C816-B61E-A81E397BBA41}"/>
                      </a:ext>
                    </a:extLst>
                  </xdr:cNvPr>
                  <xdr:cNvCxnSpPr/>
                </xdr:nvCxnSpPr>
                <xdr:spPr>
                  <a:xfrm>
                    <a:off x="9525022" y="3257342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7" name="Прямая соединительная линия 86">
                    <a:extLst>
                      <a:ext uri="{FF2B5EF4-FFF2-40B4-BE49-F238E27FC236}">
                        <a16:creationId xmlns:a16="http://schemas.microsoft.com/office/drawing/2014/main" id="{112C4934-2232-E323-3E20-B9C9EEE6A8B4}"/>
                      </a:ext>
                    </a:extLst>
                  </xdr:cNvPr>
                  <xdr:cNvCxnSpPr/>
                </xdr:nvCxnSpPr>
                <xdr:spPr>
                  <a:xfrm>
                    <a:off x="9525022" y="3424094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8" name="Прямая соединительная линия 87">
                    <a:extLst>
                      <a:ext uri="{FF2B5EF4-FFF2-40B4-BE49-F238E27FC236}">
                        <a16:creationId xmlns:a16="http://schemas.microsoft.com/office/drawing/2014/main" id="{48A839A0-2B55-F708-4E36-E14326029DBC}"/>
                      </a:ext>
                    </a:extLst>
                  </xdr:cNvPr>
                  <xdr:cNvCxnSpPr/>
                </xdr:nvCxnSpPr>
                <xdr:spPr>
                  <a:xfrm flipV="1">
                    <a:off x="9740103" y="3179177"/>
                    <a:ext cx="0" cy="306897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9" name="Прямая соединительная линия 88">
                    <a:extLst>
                      <a:ext uri="{FF2B5EF4-FFF2-40B4-BE49-F238E27FC236}">
                        <a16:creationId xmlns:a16="http://schemas.microsoft.com/office/drawing/2014/main" id="{34C5411B-0E17-50E2-7724-D1D41422F0AB}"/>
                      </a:ext>
                    </a:extLst>
                  </xdr:cNvPr>
                  <xdr:cNvCxnSpPr/>
                </xdr:nvCxnSpPr>
                <xdr:spPr>
                  <a:xfrm>
                    <a:off x="9525022" y="2483975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0" name="Прямая соединительная линия 89">
                    <a:extLst>
                      <a:ext uri="{FF2B5EF4-FFF2-40B4-BE49-F238E27FC236}">
                        <a16:creationId xmlns:a16="http://schemas.microsoft.com/office/drawing/2014/main" id="{010C7A7C-ACD0-3B28-B30B-80BC3E0D60F2}"/>
                      </a:ext>
                    </a:extLst>
                  </xdr:cNvPr>
                  <xdr:cNvCxnSpPr/>
                </xdr:nvCxnSpPr>
                <xdr:spPr>
                  <a:xfrm>
                    <a:off x="9525022" y="2788211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1" name="Прямая соединительная линия 90">
                    <a:extLst>
                      <a:ext uri="{FF2B5EF4-FFF2-40B4-BE49-F238E27FC236}">
                        <a16:creationId xmlns:a16="http://schemas.microsoft.com/office/drawing/2014/main" id="{5C26FEA9-C031-BA23-1948-72DF358413AC}"/>
                      </a:ext>
                    </a:extLst>
                  </xdr:cNvPr>
                  <xdr:cNvCxnSpPr/>
                </xdr:nvCxnSpPr>
                <xdr:spPr>
                  <a:xfrm flipV="1">
                    <a:off x="9740103" y="2402411"/>
                    <a:ext cx="0" cy="429944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80" name="TextBox 79">
                  <a:extLst>
                    <a:ext uri="{FF2B5EF4-FFF2-40B4-BE49-F238E27FC236}">
                      <a16:creationId xmlns:a16="http://schemas.microsoft.com/office/drawing/2014/main" id="{C1D7F101-7A7F-EEF1-CA59-178D79915795}"/>
                    </a:ext>
                  </a:extLst>
                </xdr:cNvPr>
                <xdr:cNvSpPr txBox="1"/>
              </xdr:nvSpPr>
              <xdr:spPr>
                <a:xfrm>
                  <a:off x="9759461" y="4110404"/>
                  <a:ext cx="327654" cy="26489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ru-RU" sz="1100"/>
                    <a:t>50</a:t>
                  </a:r>
                  <a:endParaRPr lang="en-US" sz="1100"/>
                </a:p>
              </xdr:txBody>
            </xdr:sp>
            <xdr:sp macro="" textlink="$EJ$307">
              <xdr:nvSpPr>
                <xdr:cNvPr id="81" name="TextBox 80">
                  <a:extLst>
                    <a:ext uri="{FF2B5EF4-FFF2-40B4-BE49-F238E27FC236}">
                      <a16:creationId xmlns:a16="http://schemas.microsoft.com/office/drawing/2014/main" id="{0A133203-B96E-590B-B176-4B5D09E963C2}"/>
                    </a:ext>
                  </a:extLst>
                </xdr:cNvPr>
                <xdr:cNvSpPr txBox="1"/>
              </xdr:nvSpPr>
              <xdr:spPr>
                <a:xfrm>
                  <a:off x="9759463" y="3214341"/>
                  <a:ext cx="526671" cy="279923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7E61E6CA-3906-4D0D-B7C5-E73499C2923D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23,3</a:t>
                  </a:fld>
                  <a:endParaRPr lang="ru-RU" sz="1100"/>
                </a:p>
              </xdr:txBody>
            </xdr:sp>
            <xdr:sp macro="" textlink="EC384">
              <xdr:nvSpPr>
                <xdr:cNvPr id="82" name="TextBox 81">
                  <a:extLst>
                    <a:ext uri="{FF2B5EF4-FFF2-40B4-BE49-F238E27FC236}">
                      <a16:creationId xmlns:a16="http://schemas.microsoft.com/office/drawing/2014/main" id="{AF6B150E-00D7-56CE-34D2-598B2435FF0B}"/>
                    </a:ext>
                  </a:extLst>
                </xdr:cNvPr>
                <xdr:cNvSpPr txBox="1"/>
              </xdr:nvSpPr>
              <xdr:spPr>
                <a:xfrm>
                  <a:off x="9759463" y="2497196"/>
                  <a:ext cx="483987" cy="279923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2FD5088F-5B77-49CE-A65E-D40D369245FA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100</a:t>
                  </a:fld>
                  <a:endParaRPr lang="ru-RU" sz="1100"/>
                </a:p>
              </xdr:txBody>
            </xdr:sp>
          </xdr:grpSp>
        </xdr:grpSp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E67618FE-C166-B738-023A-37FEA4EB1C99}"/>
                </a:ext>
              </a:extLst>
            </xdr:cNvPr>
            <xdr:cNvSpPr txBox="1"/>
          </xdr:nvSpPr>
          <xdr:spPr>
            <a:xfrm>
              <a:off x="8886264" y="4437529"/>
              <a:ext cx="1881349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ru-RU" sz="1100"/>
                <a:t>Одностороннее заполнение</a:t>
              </a:r>
            </a:p>
          </xdr:txBody>
        </xdr:sp>
      </xdr:grpSp>
      <xdr:grpSp>
        <xdr:nvGrpSpPr>
          <xdr:cNvPr id="5" name="Группа 4">
            <a:extLst>
              <a:ext uri="{FF2B5EF4-FFF2-40B4-BE49-F238E27FC236}">
                <a16:creationId xmlns:a16="http://schemas.microsoft.com/office/drawing/2014/main" id="{F59CCB96-DE7F-050F-5C95-20F1C4CF6570}"/>
              </a:ext>
            </a:extLst>
          </xdr:cNvPr>
          <xdr:cNvGrpSpPr/>
        </xdr:nvGrpSpPr>
        <xdr:grpSpPr>
          <a:xfrm>
            <a:off x="12665112" y="1318260"/>
            <a:ext cx="1844683" cy="2642672"/>
            <a:chOff x="11418794" y="1980079"/>
            <a:chExt cx="1781706" cy="2722010"/>
          </a:xfrm>
        </xdr:grpSpPr>
        <xdr:grpSp>
          <xdr:nvGrpSpPr>
            <xdr:cNvPr id="46" name="Группа 45">
              <a:extLst>
                <a:ext uri="{FF2B5EF4-FFF2-40B4-BE49-F238E27FC236}">
                  <a16:creationId xmlns:a16="http://schemas.microsoft.com/office/drawing/2014/main" id="{E36D4BC4-CEA9-8CD3-9355-DD5F4EECBFEA}"/>
                </a:ext>
              </a:extLst>
            </xdr:cNvPr>
            <xdr:cNvGrpSpPr/>
          </xdr:nvGrpSpPr>
          <xdr:grpSpPr>
            <a:xfrm>
              <a:off x="12177782" y="1980079"/>
              <a:ext cx="972471" cy="2404267"/>
              <a:chOff x="9302146" y="1968012"/>
              <a:chExt cx="985904" cy="2407284"/>
            </a:xfrm>
          </xdr:grpSpPr>
          <xdr:grpSp>
            <xdr:nvGrpSpPr>
              <xdr:cNvPr id="48" name="Группа 47">
                <a:extLst>
                  <a:ext uri="{FF2B5EF4-FFF2-40B4-BE49-F238E27FC236}">
                    <a16:creationId xmlns:a16="http://schemas.microsoft.com/office/drawing/2014/main" id="{6DD34D93-A60A-BFCF-CD33-FB0C0E005B21}"/>
                  </a:ext>
                </a:extLst>
              </xdr:cNvPr>
              <xdr:cNvGrpSpPr/>
            </xdr:nvGrpSpPr>
            <xdr:grpSpPr>
              <a:xfrm>
                <a:off x="9302146" y="1968012"/>
                <a:ext cx="266295" cy="2313109"/>
                <a:chOff x="9347154" y="4207329"/>
                <a:chExt cx="266295" cy="2314575"/>
              </a:xfrm>
            </xdr:grpSpPr>
            <xdr:sp macro="" textlink="">
              <xdr:nvSpPr>
                <xdr:cNvPr id="63" name="Прямоугольник 62">
                  <a:extLst>
                    <a:ext uri="{FF2B5EF4-FFF2-40B4-BE49-F238E27FC236}">
                      <a16:creationId xmlns:a16="http://schemas.microsoft.com/office/drawing/2014/main" id="{0525DC42-7C34-BF8E-94D6-201552D1849B}"/>
                    </a:ext>
                  </a:extLst>
                </xdr:cNvPr>
                <xdr:cNvSpPr/>
              </xdr:nvSpPr>
              <xdr:spPr>
                <a:xfrm>
                  <a:off x="9424477" y="4254954"/>
                  <a:ext cx="105966" cy="2266950"/>
                </a:xfrm>
                <a:prstGeom prst="rect">
                  <a:avLst/>
                </a:prstGeom>
                <a:noFill/>
                <a:ln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4" name="Правая круглая скобка 63">
                  <a:extLst>
                    <a:ext uri="{FF2B5EF4-FFF2-40B4-BE49-F238E27FC236}">
                      <a16:creationId xmlns:a16="http://schemas.microsoft.com/office/drawing/2014/main" id="{3DAD0BE8-216F-1333-E7BE-5241A8206BA4}"/>
                    </a:ext>
                  </a:extLst>
                </xdr:cNvPr>
                <xdr:cNvSpPr/>
              </xdr:nvSpPr>
              <xdr:spPr>
                <a:xfrm rot="16200000">
                  <a:off x="9418042" y="4136441"/>
                  <a:ext cx="124520" cy="266295"/>
                </a:xfrm>
                <a:prstGeom prst="rightBracket">
                  <a:avLst>
                    <a:gd name="adj" fmla="val 0"/>
                  </a:avLst>
                </a:prstGeom>
                <a:ln w="19050"/>
              </xdr:spPr>
              <xdr:style>
                <a:lnRef idx="1">
                  <a:schemeClr val="accent3"/>
                </a:lnRef>
                <a:fillRef idx="0">
                  <a:schemeClr val="accent3"/>
                </a:fillRef>
                <a:effectRef idx="0">
                  <a:schemeClr val="accent3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5" name="Прямоугольник 64">
                  <a:extLst>
                    <a:ext uri="{FF2B5EF4-FFF2-40B4-BE49-F238E27FC236}">
                      <a16:creationId xmlns:a16="http://schemas.microsoft.com/office/drawing/2014/main" id="{E263E000-3061-36A1-28D7-B9B26FC5D7FD}"/>
                    </a:ext>
                  </a:extLst>
                </xdr:cNvPr>
                <xdr:cNvSpPr/>
              </xdr:nvSpPr>
              <xdr:spPr>
                <a:xfrm>
                  <a:off x="9547170" y="4259368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6" name="Прямоугольник 65">
                  <a:extLst>
                    <a:ext uri="{FF2B5EF4-FFF2-40B4-BE49-F238E27FC236}">
                      <a16:creationId xmlns:a16="http://schemas.microsoft.com/office/drawing/2014/main" id="{50CC1F70-24EB-A2E3-5637-49413221C084}"/>
                    </a:ext>
                  </a:extLst>
                </xdr:cNvPr>
                <xdr:cNvSpPr/>
              </xdr:nvSpPr>
              <xdr:spPr>
                <a:xfrm>
                  <a:off x="9547170" y="473073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7" name="Прямоугольник 66">
                  <a:extLst>
                    <a:ext uri="{FF2B5EF4-FFF2-40B4-BE49-F238E27FC236}">
                      <a16:creationId xmlns:a16="http://schemas.microsoft.com/office/drawing/2014/main" id="{7D952C00-0874-0CC1-DDC8-25015F24FCE0}"/>
                    </a:ext>
                  </a:extLst>
                </xdr:cNvPr>
                <xdr:cNvSpPr/>
              </xdr:nvSpPr>
              <xdr:spPr>
                <a:xfrm>
                  <a:off x="9547170" y="5201181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8" name="Прямоугольник 67">
                  <a:extLst>
                    <a:ext uri="{FF2B5EF4-FFF2-40B4-BE49-F238E27FC236}">
                      <a16:creationId xmlns:a16="http://schemas.microsoft.com/office/drawing/2014/main" id="{A02EBB1F-D225-4DA9-BD59-70087F8B1007}"/>
                    </a:ext>
                  </a:extLst>
                </xdr:cNvPr>
                <xdr:cNvSpPr/>
              </xdr:nvSpPr>
              <xdr:spPr>
                <a:xfrm>
                  <a:off x="9547170" y="5671623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9" name="Прямоугольник 68">
                  <a:extLst>
                    <a:ext uri="{FF2B5EF4-FFF2-40B4-BE49-F238E27FC236}">
                      <a16:creationId xmlns:a16="http://schemas.microsoft.com/office/drawing/2014/main" id="{E7DEFF7B-C9E3-78D7-3CEB-2611703E49D3}"/>
                    </a:ext>
                  </a:extLst>
                </xdr:cNvPr>
                <xdr:cNvSpPr/>
              </xdr:nvSpPr>
              <xdr:spPr>
                <a:xfrm>
                  <a:off x="9547170" y="6142065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0" name="Прямоугольник 69">
                  <a:extLst>
                    <a:ext uri="{FF2B5EF4-FFF2-40B4-BE49-F238E27FC236}">
                      <a16:creationId xmlns:a16="http://schemas.microsoft.com/office/drawing/2014/main" id="{1569537A-59D9-B4CD-D9D9-FFF452554E24}"/>
                    </a:ext>
                  </a:extLst>
                </xdr:cNvPr>
                <xdr:cNvSpPr/>
              </xdr:nvSpPr>
              <xdr:spPr>
                <a:xfrm>
                  <a:off x="9366015" y="4259368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1" name="Прямоугольник 70">
                  <a:extLst>
                    <a:ext uri="{FF2B5EF4-FFF2-40B4-BE49-F238E27FC236}">
                      <a16:creationId xmlns:a16="http://schemas.microsoft.com/office/drawing/2014/main" id="{0DDD88D8-1AE8-1BDE-A6AB-97BC454867ED}"/>
                    </a:ext>
                  </a:extLst>
                </xdr:cNvPr>
                <xdr:cNvSpPr/>
              </xdr:nvSpPr>
              <xdr:spPr>
                <a:xfrm>
                  <a:off x="9366015" y="473073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2" name="Прямоугольник 71">
                  <a:extLst>
                    <a:ext uri="{FF2B5EF4-FFF2-40B4-BE49-F238E27FC236}">
                      <a16:creationId xmlns:a16="http://schemas.microsoft.com/office/drawing/2014/main" id="{03D179C5-84DB-6038-A0FC-1994B15B13CD}"/>
                    </a:ext>
                  </a:extLst>
                </xdr:cNvPr>
                <xdr:cNvSpPr/>
              </xdr:nvSpPr>
              <xdr:spPr>
                <a:xfrm>
                  <a:off x="9366015" y="5201181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3" name="Прямоугольник 72">
                  <a:extLst>
                    <a:ext uri="{FF2B5EF4-FFF2-40B4-BE49-F238E27FC236}">
                      <a16:creationId xmlns:a16="http://schemas.microsoft.com/office/drawing/2014/main" id="{D8481545-331E-BBB7-BB4F-E7DE47C6DB09}"/>
                    </a:ext>
                  </a:extLst>
                </xdr:cNvPr>
                <xdr:cNvSpPr/>
              </xdr:nvSpPr>
              <xdr:spPr>
                <a:xfrm>
                  <a:off x="9366015" y="5671623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4" name="Прямоугольник 73">
                  <a:extLst>
                    <a:ext uri="{FF2B5EF4-FFF2-40B4-BE49-F238E27FC236}">
                      <a16:creationId xmlns:a16="http://schemas.microsoft.com/office/drawing/2014/main" id="{75EABA7B-FF9D-1FDF-46C7-CDF6E9BED47A}"/>
                    </a:ext>
                  </a:extLst>
                </xdr:cNvPr>
                <xdr:cNvSpPr/>
              </xdr:nvSpPr>
              <xdr:spPr>
                <a:xfrm>
                  <a:off x="9366015" y="6142065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</xdr:grpSp>
          <xdr:grpSp>
            <xdr:nvGrpSpPr>
              <xdr:cNvPr id="49" name="Группа 48">
                <a:extLst>
                  <a:ext uri="{FF2B5EF4-FFF2-40B4-BE49-F238E27FC236}">
                    <a16:creationId xmlns:a16="http://schemas.microsoft.com/office/drawing/2014/main" id="{B75E09CD-C4FA-8165-36A2-1C4F5DE637D0}"/>
                  </a:ext>
                </a:extLst>
              </xdr:cNvPr>
              <xdr:cNvGrpSpPr/>
            </xdr:nvGrpSpPr>
            <xdr:grpSpPr>
              <a:xfrm>
                <a:off x="9525022" y="2402411"/>
                <a:ext cx="763028" cy="1972885"/>
                <a:chOff x="9525022" y="2402411"/>
                <a:chExt cx="763028" cy="1972885"/>
              </a:xfrm>
            </xdr:grpSpPr>
            <xdr:grpSp>
              <xdr:nvGrpSpPr>
                <xdr:cNvPr id="50" name="Группа 49">
                  <a:extLst>
                    <a:ext uri="{FF2B5EF4-FFF2-40B4-BE49-F238E27FC236}">
                      <a16:creationId xmlns:a16="http://schemas.microsoft.com/office/drawing/2014/main" id="{3A094735-8882-6BCB-A7AE-D6312397EA4A}"/>
                    </a:ext>
                  </a:extLst>
                </xdr:cNvPr>
                <xdr:cNvGrpSpPr/>
              </xdr:nvGrpSpPr>
              <xdr:grpSpPr>
                <a:xfrm>
                  <a:off x="9525022" y="2402411"/>
                  <a:ext cx="291747" cy="1952840"/>
                  <a:chOff x="9525022" y="2402411"/>
                  <a:chExt cx="291747" cy="1952840"/>
                </a:xfrm>
              </xdr:grpSpPr>
              <xdr:cxnSp macro="">
                <xdr:nvCxnSpPr>
                  <xdr:cNvPr id="54" name="Прямая соединительная линия 53">
                    <a:extLst>
                      <a:ext uri="{FF2B5EF4-FFF2-40B4-BE49-F238E27FC236}">
                        <a16:creationId xmlns:a16="http://schemas.microsoft.com/office/drawing/2014/main" id="{76491035-0A44-E2B4-8F20-3C3EB9518F6F}"/>
                      </a:ext>
                    </a:extLst>
                  </xdr:cNvPr>
                  <xdr:cNvCxnSpPr/>
                </xdr:nvCxnSpPr>
                <xdr:spPr>
                  <a:xfrm>
                    <a:off x="9525022" y="4195714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5" name="Прямая соединительная линия 54">
                    <a:extLst>
                      <a:ext uri="{FF2B5EF4-FFF2-40B4-BE49-F238E27FC236}">
                        <a16:creationId xmlns:a16="http://schemas.microsoft.com/office/drawing/2014/main" id="{07E71549-79CB-AFDF-7C42-C6EE94824760}"/>
                      </a:ext>
                    </a:extLst>
                  </xdr:cNvPr>
                  <xdr:cNvCxnSpPr/>
                </xdr:nvCxnSpPr>
                <xdr:spPr>
                  <a:xfrm>
                    <a:off x="9525022" y="4287653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6" name="Прямая соединительная линия 55">
                    <a:extLst>
                      <a:ext uri="{FF2B5EF4-FFF2-40B4-BE49-F238E27FC236}">
                        <a16:creationId xmlns:a16="http://schemas.microsoft.com/office/drawing/2014/main" id="{B67C5980-2B98-83A9-8D3B-F2FE9F470418}"/>
                      </a:ext>
                    </a:extLst>
                  </xdr:cNvPr>
                  <xdr:cNvCxnSpPr/>
                </xdr:nvCxnSpPr>
                <xdr:spPr>
                  <a:xfrm flipV="1">
                    <a:off x="9740103" y="4124349"/>
                    <a:ext cx="0" cy="230902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7" name="Прямая соединительная линия 56">
                    <a:extLst>
                      <a:ext uri="{FF2B5EF4-FFF2-40B4-BE49-F238E27FC236}">
                        <a16:creationId xmlns:a16="http://schemas.microsoft.com/office/drawing/2014/main" id="{14D96B76-A565-D19E-1636-8FE1AF5AEAF3}"/>
                      </a:ext>
                    </a:extLst>
                  </xdr:cNvPr>
                  <xdr:cNvCxnSpPr/>
                </xdr:nvCxnSpPr>
                <xdr:spPr>
                  <a:xfrm>
                    <a:off x="9525022" y="3257342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8" name="Прямая соединительная линия 57">
                    <a:extLst>
                      <a:ext uri="{FF2B5EF4-FFF2-40B4-BE49-F238E27FC236}">
                        <a16:creationId xmlns:a16="http://schemas.microsoft.com/office/drawing/2014/main" id="{79D1DA75-204E-46D7-277A-4DAF3759A7E4}"/>
                      </a:ext>
                    </a:extLst>
                  </xdr:cNvPr>
                  <xdr:cNvCxnSpPr/>
                </xdr:nvCxnSpPr>
                <xdr:spPr>
                  <a:xfrm>
                    <a:off x="9525022" y="3424094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9" name="Прямая соединительная линия 58">
                    <a:extLst>
                      <a:ext uri="{FF2B5EF4-FFF2-40B4-BE49-F238E27FC236}">
                        <a16:creationId xmlns:a16="http://schemas.microsoft.com/office/drawing/2014/main" id="{AD6A1532-1C7E-126D-A25E-A6B4A7597AEA}"/>
                      </a:ext>
                    </a:extLst>
                  </xdr:cNvPr>
                  <xdr:cNvCxnSpPr/>
                </xdr:nvCxnSpPr>
                <xdr:spPr>
                  <a:xfrm flipV="1">
                    <a:off x="9740103" y="3179177"/>
                    <a:ext cx="0" cy="306897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0" name="Прямая соединительная линия 59">
                    <a:extLst>
                      <a:ext uri="{FF2B5EF4-FFF2-40B4-BE49-F238E27FC236}">
                        <a16:creationId xmlns:a16="http://schemas.microsoft.com/office/drawing/2014/main" id="{D5D64016-B1CB-DCE1-CDCC-EE5A12ED13FF}"/>
                      </a:ext>
                    </a:extLst>
                  </xdr:cNvPr>
                  <xdr:cNvCxnSpPr/>
                </xdr:nvCxnSpPr>
                <xdr:spPr>
                  <a:xfrm>
                    <a:off x="9525022" y="2483975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1" name="Прямая соединительная линия 60">
                    <a:extLst>
                      <a:ext uri="{FF2B5EF4-FFF2-40B4-BE49-F238E27FC236}">
                        <a16:creationId xmlns:a16="http://schemas.microsoft.com/office/drawing/2014/main" id="{4A69E536-4583-8BF2-7420-6BA17BEFC147}"/>
                      </a:ext>
                    </a:extLst>
                  </xdr:cNvPr>
                  <xdr:cNvCxnSpPr/>
                </xdr:nvCxnSpPr>
                <xdr:spPr>
                  <a:xfrm>
                    <a:off x="9525022" y="2788211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2" name="Прямая соединительная линия 61">
                    <a:extLst>
                      <a:ext uri="{FF2B5EF4-FFF2-40B4-BE49-F238E27FC236}">
                        <a16:creationId xmlns:a16="http://schemas.microsoft.com/office/drawing/2014/main" id="{35FDBE05-028C-670A-688A-B01554E2B793}"/>
                      </a:ext>
                    </a:extLst>
                  </xdr:cNvPr>
                  <xdr:cNvCxnSpPr/>
                </xdr:nvCxnSpPr>
                <xdr:spPr>
                  <a:xfrm flipV="1">
                    <a:off x="9740103" y="2402411"/>
                    <a:ext cx="0" cy="429944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51" name="TextBox 50">
                  <a:extLst>
                    <a:ext uri="{FF2B5EF4-FFF2-40B4-BE49-F238E27FC236}">
                      <a16:creationId xmlns:a16="http://schemas.microsoft.com/office/drawing/2014/main" id="{65EBD3AD-D15E-F2AD-1300-BDEC0197D5F6}"/>
                    </a:ext>
                  </a:extLst>
                </xdr:cNvPr>
                <xdr:cNvSpPr txBox="1"/>
              </xdr:nvSpPr>
              <xdr:spPr>
                <a:xfrm>
                  <a:off x="9759461" y="4110404"/>
                  <a:ext cx="332180" cy="26489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ru-RU" sz="1100"/>
                    <a:t>50</a:t>
                  </a:r>
                  <a:endParaRPr lang="en-US" sz="1100"/>
                </a:p>
              </xdr:txBody>
            </xdr:sp>
            <xdr:sp macro="" textlink="$EJ$308">
              <xdr:nvSpPr>
                <xdr:cNvPr id="52" name="TextBox 51">
                  <a:extLst>
                    <a:ext uri="{FF2B5EF4-FFF2-40B4-BE49-F238E27FC236}">
                      <a16:creationId xmlns:a16="http://schemas.microsoft.com/office/drawing/2014/main" id="{4B3B8404-CE03-633A-E421-37F6A1F18235}"/>
                    </a:ext>
                  </a:extLst>
                </xdr:cNvPr>
                <xdr:cNvSpPr txBox="1"/>
              </xdr:nvSpPr>
              <xdr:spPr>
                <a:xfrm>
                  <a:off x="9759461" y="3214341"/>
                  <a:ext cx="528589" cy="279923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AD78EA7B-909F-47FA-9E5E-99FA34C4545A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23,3</a:t>
                  </a:fld>
                  <a:endParaRPr lang="ru-RU" sz="1100"/>
                </a:p>
              </xdr:txBody>
            </xdr:sp>
            <xdr:sp macro="" textlink="EC384">
              <xdr:nvSpPr>
                <xdr:cNvPr id="53" name="TextBox 52">
                  <a:extLst>
                    <a:ext uri="{FF2B5EF4-FFF2-40B4-BE49-F238E27FC236}">
                      <a16:creationId xmlns:a16="http://schemas.microsoft.com/office/drawing/2014/main" id="{617BE3E2-CE4B-1FFD-BD0D-740DFF1A19A8}"/>
                    </a:ext>
                  </a:extLst>
                </xdr:cNvPr>
                <xdr:cNvSpPr txBox="1"/>
              </xdr:nvSpPr>
              <xdr:spPr>
                <a:xfrm>
                  <a:off x="9759461" y="2497196"/>
                  <a:ext cx="485750" cy="279923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E930BD6F-FB51-40CB-95EC-7E3DE3F414C2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100</a:t>
                  </a:fld>
                  <a:endParaRPr lang="ru-RU" sz="1100"/>
                </a:p>
              </xdr:txBody>
            </xdr:sp>
          </xdr:grpSp>
        </xdr:grp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710D5B47-FDB9-F2F7-446D-69DB21544454}"/>
                </a:ext>
              </a:extLst>
            </xdr:cNvPr>
            <xdr:cNvSpPr txBox="1"/>
          </xdr:nvSpPr>
          <xdr:spPr>
            <a:xfrm>
              <a:off x="11418794" y="4437529"/>
              <a:ext cx="178170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ru-RU" sz="1100"/>
                <a:t>Двустороннее заполнение</a:t>
              </a:r>
            </a:p>
          </xdr:txBody>
        </xdr:sp>
      </xdr:grpSp>
      <xdr:grpSp>
        <xdr:nvGrpSpPr>
          <xdr:cNvPr id="6" name="Группа 5">
            <a:extLst>
              <a:ext uri="{FF2B5EF4-FFF2-40B4-BE49-F238E27FC236}">
                <a16:creationId xmlns:a16="http://schemas.microsoft.com/office/drawing/2014/main" id="{0A1739DE-29D6-27D2-8C3F-26772E135ED1}"/>
              </a:ext>
            </a:extLst>
          </xdr:cNvPr>
          <xdr:cNvGrpSpPr/>
        </xdr:nvGrpSpPr>
        <xdr:grpSpPr>
          <a:xfrm>
            <a:off x="14668944" y="1279470"/>
            <a:ext cx="1761988" cy="2681462"/>
            <a:chOff x="14040970" y="1933669"/>
            <a:chExt cx="1533002" cy="2768420"/>
          </a:xfrm>
        </xdr:grpSpPr>
        <xdr:grpSp>
          <xdr:nvGrpSpPr>
            <xdr:cNvPr id="7" name="Группа 6">
              <a:extLst>
                <a:ext uri="{FF2B5EF4-FFF2-40B4-BE49-F238E27FC236}">
                  <a16:creationId xmlns:a16="http://schemas.microsoft.com/office/drawing/2014/main" id="{88F64A65-0C53-3F89-3F25-E99D66536B0E}"/>
                </a:ext>
              </a:extLst>
            </xdr:cNvPr>
            <xdr:cNvGrpSpPr/>
          </xdr:nvGrpSpPr>
          <xdr:grpSpPr>
            <a:xfrm>
              <a:off x="14064483" y="1933669"/>
              <a:ext cx="1509489" cy="2450236"/>
              <a:chOff x="14090207" y="1921602"/>
              <a:chExt cx="1516431" cy="2453252"/>
            </a:xfrm>
          </xdr:grpSpPr>
          <xdr:grpSp>
            <xdr:nvGrpSpPr>
              <xdr:cNvPr id="9" name="Группа 8">
                <a:extLst>
                  <a:ext uri="{FF2B5EF4-FFF2-40B4-BE49-F238E27FC236}">
                    <a16:creationId xmlns:a16="http://schemas.microsoft.com/office/drawing/2014/main" id="{320F8CF0-2B1B-F6C5-D883-EA021A21AC1B}"/>
                  </a:ext>
                </a:extLst>
              </xdr:cNvPr>
              <xdr:cNvGrpSpPr/>
            </xdr:nvGrpSpPr>
            <xdr:grpSpPr>
              <a:xfrm>
                <a:off x="14090207" y="1921602"/>
                <a:ext cx="1516431" cy="2453252"/>
                <a:chOff x="8706277" y="1921669"/>
                <a:chExt cx="1528882" cy="2453185"/>
              </a:xfrm>
            </xdr:grpSpPr>
            <xdr:grpSp>
              <xdr:nvGrpSpPr>
                <xdr:cNvPr id="12" name="Группа 11">
                  <a:extLst>
                    <a:ext uri="{FF2B5EF4-FFF2-40B4-BE49-F238E27FC236}">
                      <a16:creationId xmlns:a16="http://schemas.microsoft.com/office/drawing/2014/main" id="{DFB38D9C-C0C8-BDED-F5CC-8474E3028105}"/>
                    </a:ext>
                  </a:extLst>
                </xdr:cNvPr>
                <xdr:cNvGrpSpPr/>
              </xdr:nvGrpSpPr>
              <xdr:grpSpPr>
                <a:xfrm>
                  <a:off x="9302146" y="1968012"/>
                  <a:ext cx="266295" cy="2313109"/>
                  <a:chOff x="9347154" y="4207329"/>
                  <a:chExt cx="266295" cy="2314575"/>
                </a:xfrm>
              </xdr:grpSpPr>
              <xdr:sp macro="" textlink="">
                <xdr:nvSpPr>
                  <xdr:cNvPr id="35" name="Прямоугольник 34">
                    <a:extLst>
                      <a:ext uri="{FF2B5EF4-FFF2-40B4-BE49-F238E27FC236}">
                        <a16:creationId xmlns:a16="http://schemas.microsoft.com/office/drawing/2014/main" id="{9F8C8AAF-21A3-F061-71BE-36767D384340}"/>
                      </a:ext>
                    </a:extLst>
                  </xdr:cNvPr>
                  <xdr:cNvSpPr/>
                </xdr:nvSpPr>
                <xdr:spPr>
                  <a:xfrm>
                    <a:off x="9424477" y="4254954"/>
                    <a:ext cx="105966" cy="2266950"/>
                  </a:xfrm>
                  <a:prstGeom prst="rect">
                    <a:avLst/>
                  </a:prstGeom>
                  <a:noFill/>
                  <a:ln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6" name="Правая круглая скобка 35">
                    <a:extLst>
                      <a:ext uri="{FF2B5EF4-FFF2-40B4-BE49-F238E27FC236}">
                        <a16:creationId xmlns:a16="http://schemas.microsoft.com/office/drawing/2014/main" id="{BFF4C5D0-7C5E-1F60-7616-14C374CF8594}"/>
                      </a:ext>
                    </a:extLst>
                  </xdr:cNvPr>
                  <xdr:cNvSpPr/>
                </xdr:nvSpPr>
                <xdr:spPr>
                  <a:xfrm rot="16200000">
                    <a:off x="9418042" y="4136441"/>
                    <a:ext cx="124520" cy="266295"/>
                  </a:xfrm>
                  <a:prstGeom prst="rightBracket">
                    <a:avLst>
                      <a:gd name="adj" fmla="val 0"/>
                    </a:avLst>
                  </a:prstGeom>
                  <a:ln w="19050"/>
                </xdr:spPr>
                <xdr:style>
                  <a:lnRef idx="1">
                    <a:schemeClr val="accent3"/>
                  </a:lnRef>
                  <a:fillRef idx="0">
                    <a:schemeClr val="accent3"/>
                  </a:fillRef>
                  <a:effectRef idx="0">
                    <a:schemeClr val="accent3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7" name="Прямоугольник 36">
                    <a:extLst>
                      <a:ext uri="{FF2B5EF4-FFF2-40B4-BE49-F238E27FC236}">
                        <a16:creationId xmlns:a16="http://schemas.microsoft.com/office/drawing/2014/main" id="{0EA10719-21DA-7862-D4BD-F7FC7503276C}"/>
                      </a:ext>
                    </a:extLst>
                  </xdr:cNvPr>
                  <xdr:cNvSpPr/>
                </xdr:nvSpPr>
                <xdr:spPr>
                  <a:xfrm>
                    <a:off x="9547170" y="4259368"/>
                    <a:ext cx="45719" cy="288929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8" name="Прямоугольник 37">
                    <a:extLst>
                      <a:ext uri="{FF2B5EF4-FFF2-40B4-BE49-F238E27FC236}">
                        <a16:creationId xmlns:a16="http://schemas.microsoft.com/office/drawing/2014/main" id="{6B71C2F9-9914-7D0A-6434-36156EAFA02C}"/>
                      </a:ext>
                    </a:extLst>
                  </xdr:cNvPr>
                  <xdr:cNvSpPr/>
                </xdr:nvSpPr>
                <xdr:spPr>
                  <a:xfrm>
                    <a:off x="9547170" y="4730739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9" name="Прямоугольник 38">
                    <a:extLst>
                      <a:ext uri="{FF2B5EF4-FFF2-40B4-BE49-F238E27FC236}">
                        <a16:creationId xmlns:a16="http://schemas.microsoft.com/office/drawing/2014/main" id="{E7E8F8CE-E920-28A2-E97D-C846AB19A1F7}"/>
                      </a:ext>
                    </a:extLst>
                  </xdr:cNvPr>
                  <xdr:cNvSpPr/>
                </xdr:nvSpPr>
                <xdr:spPr>
                  <a:xfrm>
                    <a:off x="9547170" y="5201181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0" name="Прямоугольник 39">
                    <a:extLst>
                      <a:ext uri="{FF2B5EF4-FFF2-40B4-BE49-F238E27FC236}">
                        <a16:creationId xmlns:a16="http://schemas.microsoft.com/office/drawing/2014/main" id="{28092AED-51F8-03BC-4A03-FE42745ABD19}"/>
                      </a:ext>
                    </a:extLst>
                  </xdr:cNvPr>
                  <xdr:cNvSpPr/>
                </xdr:nvSpPr>
                <xdr:spPr>
                  <a:xfrm>
                    <a:off x="9547170" y="5671623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1" name="Прямоугольник 40">
                    <a:extLst>
                      <a:ext uri="{FF2B5EF4-FFF2-40B4-BE49-F238E27FC236}">
                        <a16:creationId xmlns:a16="http://schemas.microsoft.com/office/drawing/2014/main" id="{D8799368-98EB-03B4-480D-DF9C620AF0D0}"/>
                      </a:ext>
                    </a:extLst>
                  </xdr:cNvPr>
                  <xdr:cNvSpPr/>
                </xdr:nvSpPr>
                <xdr:spPr>
                  <a:xfrm>
                    <a:off x="9547170" y="6142065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2" name="Прямоугольник 41">
                    <a:extLst>
                      <a:ext uri="{FF2B5EF4-FFF2-40B4-BE49-F238E27FC236}">
                        <a16:creationId xmlns:a16="http://schemas.microsoft.com/office/drawing/2014/main" id="{BC2FFA52-D409-6333-6A9D-1EFE7C3AB6FB}"/>
                      </a:ext>
                    </a:extLst>
                  </xdr:cNvPr>
                  <xdr:cNvSpPr/>
                </xdr:nvSpPr>
                <xdr:spPr>
                  <a:xfrm>
                    <a:off x="9366015" y="4497734"/>
                    <a:ext cx="45719" cy="288929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3" name="Прямоугольник 42">
                    <a:extLst>
                      <a:ext uri="{FF2B5EF4-FFF2-40B4-BE49-F238E27FC236}">
                        <a16:creationId xmlns:a16="http://schemas.microsoft.com/office/drawing/2014/main" id="{CDA0EE1E-7964-1152-7449-B5BC8A09A536}"/>
                      </a:ext>
                    </a:extLst>
                  </xdr:cNvPr>
                  <xdr:cNvSpPr/>
                </xdr:nvSpPr>
                <xdr:spPr>
                  <a:xfrm>
                    <a:off x="9366015" y="4969106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4" name="Прямоугольник 43">
                    <a:extLst>
                      <a:ext uri="{FF2B5EF4-FFF2-40B4-BE49-F238E27FC236}">
                        <a16:creationId xmlns:a16="http://schemas.microsoft.com/office/drawing/2014/main" id="{0386D6B3-842D-C2F3-85F5-F44E1DC0B1FF}"/>
                      </a:ext>
                    </a:extLst>
                  </xdr:cNvPr>
                  <xdr:cNvSpPr/>
                </xdr:nvSpPr>
                <xdr:spPr>
                  <a:xfrm>
                    <a:off x="9366015" y="5439547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5" name="Прямоугольник 44">
                    <a:extLst>
                      <a:ext uri="{FF2B5EF4-FFF2-40B4-BE49-F238E27FC236}">
                        <a16:creationId xmlns:a16="http://schemas.microsoft.com/office/drawing/2014/main" id="{8A81F9F1-7754-DD38-664E-CD44C3F142AE}"/>
                      </a:ext>
                    </a:extLst>
                  </xdr:cNvPr>
                  <xdr:cNvSpPr/>
                </xdr:nvSpPr>
                <xdr:spPr>
                  <a:xfrm>
                    <a:off x="9366015" y="5909989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</xdr:grpSp>
            <xdr:grpSp>
              <xdr:nvGrpSpPr>
                <xdr:cNvPr id="13" name="Группа 12">
                  <a:extLst>
                    <a:ext uri="{FF2B5EF4-FFF2-40B4-BE49-F238E27FC236}">
                      <a16:creationId xmlns:a16="http://schemas.microsoft.com/office/drawing/2014/main" id="{DC0677E7-B3F2-D501-8D22-E8D7812B5309}"/>
                    </a:ext>
                  </a:extLst>
                </xdr:cNvPr>
                <xdr:cNvGrpSpPr/>
              </xdr:nvGrpSpPr>
              <xdr:grpSpPr>
                <a:xfrm>
                  <a:off x="8706277" y="1921669"/>
                  <a:ext cx="1528882" cy="2453185"/>
                  <a:chOff x="8706277" y="1921669"/>
                  <a:chExt cx="1528882" cy="2453185"/>
                </a:xfrm>
              </xdr:grpSpPr>
              <xdr:grpSp>
                <xdr:nvGrpSpPr>
                  <xdr:cNvPr id="14" name="Группа 13">
                    <a:extLst>
                      <a:ext uri="{FF2B5EF4-FFF2-40B4-BE49-F238E27FC236}">
                        <a16:creationId xmlns:a16="http://schemas.microsoft.com/office/drawing/2014/main" id="{F61A769A-F2F4-32C1-8420-839CA319EDFA}"/>
                      </a:ext>
                    </a:extLst>
                  </xdr:cNvPr>
                  <xdr:cNvGrpSpPr/>
                </xdr:nvGrpSpPr>
                <xdr:grpSpPr>
                  <a:xfrm>
                    <a:off x="9077068" y="1921669"/>
                    <a:ext cx="739701" cy="2436006"/>
                    <a:chOff x="9077068" y="1921669"/>
                    <a:chExt cx="739701" cy="2436006"/>
                  </a:xfrm>
                </xdr:grpSpPr>
                <xdr:cxnSp macro="">
                  <xdr:nvCxnSpPr>
                    <xdr:cNvPr id="20" name="Прямая соединительная линия 19">
                      <a:extLst>
                        <a:ext uri="{FF2B5EF4-FFF2-40B4-BE49-F238E27FC236}">
                          <a16:creationId xmlns:a16="http://schemas.microsoft.com/office/drawing/2014/main" id="{F622568F-DA91-82CD-CC07-330FC4BFF5E5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4195714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1" name="Прямая соединительная линия 20">
                      <a:extLst>
                        <a:ext uri="{FF2B5EF4-FFF2-40B4-BE49-F238E27FC236}">
                          <a16:creationId xmlns:a16="http://schemas.microsoft.com/office/drawing/2014/main" id="{9CFB6EA0-D803-A6EB-DC06-0D82FBEFEBAA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4287653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2" name="Прямая соединительная линия 21">
                      <a:extLst>
                        <a:ext uri="{FF2B5EF4-FFF2-40B4-BE49-F238E27FC236}">
                          <a16:creationId xmlns:a16="http://schemas.microsoft.com/office/drawing/2014/main" id="{2963A647-E2B3-FA84-F0E3-605C8A0DC686}"/>
                        </a:ext>
                      </a:extLst>
                    </xdr:cNvPr>
                    <xdr:cNvCxnSpPr/>
                  </xdr:nvCxnSpPr>
                  <xdr:spPr>
                    <a:xfrm flipV="1">
                      <a:off x="9740103" y="4124349"/>
                      <a:ext cx="0" cy="230902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3" name="Прямая соединительная линия 22">
                      <a:extLst>
                        <a:ext uri="{FF2B5EF4-FFF2-40B4-BE49-F238E27FC236}">
                          <a16:creationId xmlns:a16="http://schemas.microsoft.com/office/drawing/2014/main" id="{AB611919-D86D-0F9F-660F-EBA7F7EA8822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3257342"/>
                      <a:ext cx="288345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4" name="Прямая соединительная линия 23">
                      <a:extLst>
                        <a:ext uri="{FF2B5EF4-FFF2-40B4-BE49-F238E27FC236}">
                          <a16:creationId xmlns:a16="http://schemas.microsoft.com/office/drawing/2014/main" id="{C3251D21-47F7-8AD7-F8EA-F9A694935C4A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3424094"/>
                      <a:ext cx="291747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5" name="Прямая соединительная линия 24">
                      <a:extLst>
                        <a:ext uri="{FF2B5EF4-FFF2-40B4-BE49-F238E27FC236}">
                          <a16:creationId xmlns:a16="http://schemas.microsoft.com/office/drawing/2014/main" id="{B552466A-F5C3-A986-C14F-1009399921FE}"/>
                        </a:ext>
                      </a:extLst>
                    </xdr:cNvPr>
                    <xdr:cNvCxnSpPr/>
                  </xdr:nvCxnSpPr>
                  <xdr:spPr>
                    <a:xfrm flipV="1">
                      <a:off x="9740103" y="3179177"/>
                      <a:ext cx="0" cy="306897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6" name="Прямая соединительная линия 25">
                      <a:extLst>
                        <a:ext uri="{FF2B5EF4-FFF2-40B4-BE49-F238E27FC236}">
                          <a16:creationId xmlns:a16="http://schemas.microsoft.com/office/drawing/2014/main" id="{EA78C3C5-139C-60EF-8127-3C7C8DA4D70A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2483975"/>
                      <a:ext cx="288345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7" name="Прямая соединительная линия 26">
                      <a:extLst>
                        <a:ext uri="{FF2B5EF4-FFF2-40B4-BE49-F238E27FC236}">
                          <a16:creationId xmlns:a16="http://schemas.microsoft.com/office/drawing/2014/main" id="{85A3E727-655B-0FC3-16D0-5A590C29CF98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2788211"/>
                      <a:ext cx="291747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8" name="Прямая соединительная линия 27">
                      <a:extLst>
                        <a:ext uri="{FF2B5EF4-FFF2-40B4-BE49-F238E27FC236}">
                          <a16:creationId xmlns:a16="http://schemas.microsoft.com/office/drawing/2014/main" id="{BE1085EF-3951-C44D-64D9-B66CEA6F48CF}"/>
                        </a:ext>
                      </a:extLst>
                    </xdr:cNvPr>
                    <xdr:cNvCxnSpPr/>
                  </xdr:nvCxnSpPr>
                  <xdr:spPr>
                    <a:xfrm flipV="1">
                      <a:off x="9740103" y="2402411"/>
                      <a:ext cx="0" cy="429944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9" name="Прямая соединительная линия 28">
                      <a:extLst>
                        <a:ext uri="{FF2B5EF4-FFF2-40B4-BE49-F238E27FC236}">
                          <a16:creationId xmlns:a16="http://schemas.microsoft.com/office/drawing/2014/main" id="{480C63BB-F3E2-F3E3-0106-622F6969E1B1}"/>
                        </a:ext>
                      </a:extLst>
                    </xdr:cNvPr>
                    <xdr:cNvCxnSpPr/>
                  </xdr:nvCxnSpPr>
                  <xdr:spPr>
                    <a:xfrm>
                      <a:off x="9077069" y="2005171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0" name="Прямая соединительная линия 29">
                      <a:extLst>
                        <a:ext uri="{FF2B5EF4-FFF2-40B4-BE49-F238E27FC236}">
                          <a16:creationId xmlns:a16="http://schemas.microsoft.com/office/drawing/2014/main" id="{44C7AD5C-C5A8-2492-FEA9-E40204F59603}"/>
                        </a:ext>
                      </a:extLst>
                    </xdr:cNvPr>
                    <xdr:cNvCxnSpPr/>
                  </xdr:nvCxnSpPr>
                  <xdr:spPr>
                    <a:xfrm>
                      <a:off x="9077068" y="2245477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1" name="Прямая соединительная линия 30">
                      <a:extLst>
                        <a:ext uri="{FF2B5EF4-FFF2-40B4-BE49-F238E27FC236}">
                          <a16:creationId xmlns:a16="http://schemas.microsoft.com/office/drawing/2014/main" id="{E29A98AB-051F-47C7-EBEE-F15EF3E982F2}"/>
                        </a:ext>
                      </a:extLst>
                    </xdr:cNvPr>
                    <xdr:cNvCxnSpPr/>
                  </xdr:nvCxnSpPr>
                  <xdr:spPr>
                    <a:xfrm flipV="1">
                      <a:off x="9155607" y="1921669"/>
                      <a:ext cx="0" cy="405725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2" name="Прямая соединительная линия 31">
                      <a:extLst>
                        <a:ext uri="{FF2B5EF4-FFF2-40B4-BE49-F238E27FC236}">
                          <a16:creationId xmlns:a16="http://schemas.microsoft.com/office/drawing/2014/main" id="{6AFFC8E5-2C15-7AA3-2E74-E33F7D7E2399}"/>
                        </a:ext>
                      </a:extLst>
                    </xdr:cNvPr>
                    <xdr:cNvCxnSpPr/>
                  </xdr:nvCxnSpPr>
                  <xdr:spPr>
                    <a:xfrm>
                      <a:off x="9077069" y="3964048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3" name="Прямая соединительная линия 32">
                      <a:extLst>
                        <a:ext uri="{FF2B5EF4-FFF2-40B4-BE49-F238E27FC236}">
                          <a16:creationId xmlns:a16="http://schemas.microsoft.com/office/drawing/2014/main" id="{557055FF-4659-CBE2-0D99-F6D64F3AB3ED}"/>
                        </a:ext>
                      </a:extLst>
                    </xdr:cNvPr>
                    <xdr:cNvCxnSpPr/>
                  </xdr:nvCxnSpPr>
                  <xdr:spPr>
                    <a:xfrm>
                      <a:off x="9077068" y="4287900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4" name="Прямая соединительная линия 33">
                      <a:extLst>
                        <a:ext uri="{FF2B5EF4-FFF2-40B4-BE49-F238E27FC236}">
                          <a16:creationId xmlns:a16="http://schemas.microsoft.com/office/drawing/2014/main" id="{CB0AB86C-B2E8-DCF7-EAEF-C24E534E11DC}"/>
                        </a:ext>
                      </a:extLst>
                    </xdr:cNvPr>
                    <xdr:cNvCxnSpPr/>
                  </xdr:nvCxnSpPr>
                  <xdr:spPr>
                    <a:xfrm flipV="1">
                      <a:off x="9155607" y="3873985"/>
                      <a:ext cx="0" cy="48369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15" name="TextBox 14">
                    <a:extLst>
                      <a:ext uri="{FF2B5EF4-FFF2-40B4-BE49-F238E27FC236}">
                        <a16:creationId xmlns:a16="http://schemas.microsoft.com/office/drawing/2014/main" id="{7D11E0B9-57F3-887C-E383-94B4BFF88C99}"/>
                      </a:ext>
                    </a:extLst>
                  </xdr:cNvPr>
                  <xdr:cNvSpPr txBox="1"/>
                </xdr:nvSpPr>
                <xdr:spPr>
                  <a:xfrm>
                    <a:off x="9759461" y="4110404"/>
                    <a:ext cx="298161" cy="26445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r>
                      <a:rPr lang="ru-RU" sz="1100"/>
                      <a:t>50</a:t>
                    </a:r>
                    <a:endParaRPr lang="en-US" sz="1100"/>
                  </a:p>
                </xdr:txBody>
              </xdr:sp>
              <xdr:sp macro="" textlink="$EJ$309">
                <xdr:nvSpPr>
                  <xdr:cNvPr id="16" name="TextBox 15">
                    <a:extLst>
                      <a:ext uri="{FF2B5EF4-FFF2-40B4-BE49-F238E27FC236}">
                        <a16:creationId xmlns:a16="http://schemas.microsoft.com/office/drawing/2014/main" id="{5996450A-9FFC-1E92-C71F-6BF721405820}"/>
                      </a:ext>
                    </a:extLst>
                  </xdr:cNvPr>
                  <xdr:cNvSpPr txBox="1"/>
                </xdr:nvSpPr>
                <xdr:spPr>
                  <a:xfrm>
                    <a:off x="9759463" y="3214340"/>
                    <a:ext cx="475696" cy="280562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fld id="{BC470461-8881-4AE7-AA79-986351D77A02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23,3</a:t>
                    </a:fld>
                    <a:endParaRPr lang="ru-RU" sz="1100"/>
                  </a:p>
                </xdr:txBody>
              </xdr:sp>
              <xdr:sp macro="" textlink="EC384">
                <xdr:nvSpPr>
                  <xdr:cNvPr id="17" name="TextBox 16">
                    <a:extLst>
                      <a:ext uri="{FF2B5EF4-FFF2-40B4-BE49-F238E27FC236}">
                        <a16:creationId xmlns:a16="http://schemas.microsoft.com/office/drawing/2014/main" id="{783795DF-43F3-A4DA-CDCB-15EA9566E0EE}"/>
                      </a:ext>
                    </a:extLst>
                  </xdr:cNvPr>
                  <xdr:cNvSpPr txBox="1"/>
                </xdr:nvSpPr>
                <xdr:spPr>
                  <a:xfrm>
                    <a:off x="9759461" y="2497194"/>
                    <a:ext cx="437143" cy="280562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fld id="{1D4E1E9A-5C49-4E3B-B23F-B6499CAAE125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100</a:t>
                    </a:fld>
                    <a:endParaRPr lang="ru-RU" sz="1100"/>
                  </a:p>
                </xdr:txBody>
              </xdr:sp>
              <xdr:sp macro="" textlink="$EK$310">
                <xdr:nvSpPr>
                  <xdr:cNvPr id="18" name="TextBox 17">
                    <a:extLst>
                      <a:ext uri="{FF2B5EF4-FFF2-40B4-BE49-F238E27FC236}">
                        <a16:creationId xmlns:a16="http://schemas.microsoft.com/office/drawing/2014/main" id="{33801A45-5EC9-4682-8197-DB9081FEE70C}"/>
                      </a:ext>
                    </a:extLst>
                  </xdr:cNvPr>
                  <xdr:cNvSpPr txBox="1"/>
                </xdr:nvSpPr>
                <xdr:spPr>
                  <a:xfrm>
                    <a:off x="8830017" y="2007915"/>
                    <a:ext cx="327654" cy="236187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fld id="{D8CAAA72-385E-4C1C-92D2-40BD171CCC2C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65</a:t>
                    </a:fld>
                    <a:endParaRPr lang="ru-RU" sz="1100"/>
                  </a:p>
                </xdr:txBody>
              </xdr:sp>
              <xdr:sp macro="" textlink="$EI$310">
                <xdr:nvSpPr>
                  <xdr:cNvPr id="19" name="TextBox 18">
                    <a:extLst>
                      <a:ext uri="{FF2B5EF4-FFF2-40B4-BE49-F238E27FC236}">
                        <a16:creationId xmlns:a16="http://schemas.microsoft.com/office/drawing/2014/main" id="{BCA7B795-BBBD-EA11-D35A-02370508A8F6}"/>
                      </a:ext>
                    </a:extLst>
                  </xdr:cNvPr>
                  <xdr:cNvSpPr txBox="1"/>
                </xdr:nvSpPr>
                <xdr:spPr>
                  <a:xfrm>
                    <a:off x="8706277" y="3995789"/>
                    <a:ext cx="553995" cy="280562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fld id="{9238EEAB-CC77-41C8-A74F-87E61EA2A89E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148,5</a:t>
                    </a:fld>
                    <a:endParaRPr lang="ru-RU" sz="1100"/>
                  </a:p>
                </xdr:txBody>
              </xdr:sp>
            </xdr:grpSp>
          </xdr:grpSp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A82578A3-B04D-FF25-881C-E336819F3B5A}"/>
                  </a:ext>
                </a:extLst>
              </xdr:cNvPr>
              <xdr:cNvSpPr txBox="1"/>
            </xdr:nvSpPr>
            <xdr:spPr>
              <a:xfrm>
                <a:off x="14978520" y="2859790"/>
                <a:ext cx="257186" cy="2645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US" sz="1100" i="1"/>
                  <a:t>a</a:t>
                </a:r>
                <a:endParaRPr lang="ru-RU" sz="1100" i="1"/>
              </a:p>
            </xdr:txBody>
          </xdr:sp>
          <xdr:sp macro="" textlink="">
            <xdr:nvSpPr>
              <xdr:cNvPr id="11" name="TextBox 10">
                <a:extLst>
                  <a:ext uri="{FF2B5EF4-FFF2-40B4-BE49-F238E27FC236}">
                    <a16:creationId xmlns:a16="http://schemas.microsoft.com/office/drawing/2014/main" id="{82C034F1-7CDA-EF87-B06A-48C88FAA0957}"/>
                  </a:ext>
                </a:extLst>
              </xdr:cNvPr>
              <xdr:cNvSpPr txBox="1"/>
            </xdr:nvSpPr>
            <xdr:spPr>
              <a:xfrm>
                <a:off x="14346574" y="2859790"/>
                <a:ext cx="257186" cy="2645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US" sz="1100" i="1"/>
                  <a:t>b</a:t>
                </a:r>
                <a:endParaRPr lang="ru-RU" sz="1100" i="1"/>
              </a:p>
            </xdr:txBody>
          </xdr:sp>
        </xdr:grp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28F18DB-B211-753F-DD88-6DC04BF0F71F}"/>
                </a:ext>
              </a:extLst>
            </xdr:cNvPr>
            <xdr:cNvSpPr txBox="1"/>
          </xdr:nvSpPr>
          <xdr:spPr>
            <a:xfrm>
              <a:off x="14040970" y="4437529"/>
              <a:ext cx="152035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ru-RU" sz="1100"/>
                <a:t>Заполнение шахматка</a:t>
              </a: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</xdr:row>
          <xdr:rowOff>185057</xdr:rowOff>
        </xdr:from>
        <xdr:to>
          <xdr:col>2</xdr:col>
          <xdr:colOff>847725</xdr:colOff>
          <xdr:row>34</xdr:row>
          <xdr:rowOff>70757</xdr:rowOff>
        </xdr:to>
        <xdr:pic>
          <xdr:nvPicPr>
            <xdr:cNvPr id="99" name="Рисунок 98">
              <a:extLst>
                <a:ext uri="{FF2B5EF4-FFF2-40B4-BE49-F238E27FC236}">
                  <a16:creationId xmlns:a16="http://schemas.microsoft.com/office/drawing/2014/main" id="{F4640142-9EE7-4150-B1F3-50582C343BE9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DX305:DZ324" spid="_x0000_s15905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3233057"/>
              <a:ext cx="5172075" cy="381000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617220</xdr:colOff>
          <xdr:row>28</xdr:row>
          <xdr:rowOff>221973</xdr:rowOff>
        </xdr:from>
        <xdr:to>
          <xdr:col>9</xdr:col>
          <xdr:colOff>131445</xdr:colOff>
          <xdr:row>38</xdr:row>
          <xdr:rowOff>31473</xdr:rowOff>
        </xdr:to>
        <xdr:pic>
          <xdr:nvPicPr>
            <xdr:cNvPr id="100" name="Рисунок 99">
              <a:extLst>
                <a:ext uri="{FF2B5EF4-FFF2-40B4-BE49-F238E27FC236}">
                  <a16:creationId xmlns:a16="http://schemas.microsoft.com/office/drawing/2014/main" id="{30658E9C-5048-4993-BB72-E5724D2EF2AF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$DX$326:$DZ$336" spid="_x0000_s15905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41570" y="5822673"/>
              <a:ext cx="5172075" cy="209550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624840</xdr:colOff>
          <xdr:row>17</xdr:row>
          <xdr:rowOff>2177</xdr:rowOff>
        </xdr:from>
        <xdr:to>
          <xdr:col>9</xdr:col>
          <xdr:colOff>139065</xdr:colOff>
          <xdr:row>28</xdr:row>
          <xdr:rowOff>116477</xdr:rowOff>
        </xdr:to>
        <xdr:pic>
          <xdr:nvPicPr>
            <xdr:cNvPr id="101" name="Рисунок 100">
              <a:extLst>
                <a:ext uri="{FF2B5EF4-FFF2-40B4-BE49-F238E27FC236}">
                  <a16:creationId xmlns:a16="http://schemas.microsoft.com/office/drawing/2014/main" id="{4AFCDD32-6E4A-4F1A-B035-86563411E917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$DX$338:$DZ$350" spid="_x0000_s159053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949190" y="3240677"/>
              <a:ext cx="5172075" cy="247650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53340</xdr:rowOff>
        </xdr:from>
        <xdr:to>
          <xdr:col>2</xdr:col>
          <xdr:colOff>847725</xdr:colOff>
          <xdr:row>51</xdr:row>
          <xdr:rowOff>205740</xdr:rowOff>
        </xdr:to>
        <xdr:pic>
          <xdr:nvPicPr>
            <xdr:cNvPr id="102" name="Рисунок 101">
              <a:extLst>
                <a:ext uri="{FF2B5EF4-FFF2-40B4-BE49-F238E27FC236}">
                  <a16:creationId xmlns:a16="http://schemas.microsoft.com/office/drawing/2014/main" id="{C71F6C47-3C0B-4B4A-B57E-AA6837F29FF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DX283:DZ302" spid="_x0000_s159054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0" y="7254240"/>
              <a:ext cx="5172075" cy="381000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118628</xdr:colOff>
      <xdr:row>23</xdr:row>
      <xdr:rowOff>214744</xdr:rowOff>
    </xdr:from>
    <xdr:to>
      <xdr:col>0</xdr:col>
      <xdr:colOff>1362148</xdr:colOff>
      <xdr:row>24</xdr:row>
      <xdr:rowOff>478444</xdr:rowOff>
    </xdr:to>
    <xdr:pic>
      <xdr:nvPicPr>
        <xdr:cNvPr id="149613" name="Picture 288">
          <a:extLst>
            <a:ext uri="{FF2B5EF4-FFF2-40B4-BE49-F238E27FC236}">
              <a16:creationId xmlns:a16="http://schemas.microsoft.com/office/drawing/2014/main" id="{00000000-0008-0000-0100-00006D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28" y="13896108"/>
          <a:ext cx="1243520" cy="83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18</xdr:row>
      <xdr:rowOff>190500</xdr:rowOff>
    </xdr:from>
    <xdr:to>
      <xdr:col>0</xdr:col>
      <xdr:colOff>1581150</xdr:colOff>
      <xdr:row>19</xdr:row>
      <xdr:rowOff>254578</xdr:rowOff>
    </xdr:to>
    <xdr:pic>
      <xdr:nvPicPr>
        <xdr:cNvPr id="149614" name="Picture 285" descr="IMG_5338">
          <a:extLst>
            <a:ext uri="{FF2B5EF4-FFF2-40B4-BE49-F238E27FC236}">
              <a16:creationId xmlns:a16="http://schemas.microsoft.com/office/drawing/2014/main" id="{00000000-0008-0000-0100-00006E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248900"/>
          <a:ext cx="1514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27</xdr:row>
      <xdr:rowOff>66675</xdr:rowOff>
    </xdr:from>
    <xdr:to>
      <xdr:col>0</xdr:col>
      <xdr:colOff>971550</xdr:colOff>
      <xdr:row>27</xdr:row>
      <xdr:rowOff>428625</xdr:rowOff>
    </xdr:to>
    <xdr:pic>
      <xdr:nvPicPr>
        <xdr:cNvPr id="149617" name="Picture 293">
          <a:extLst>
            <a:ext uri="{FF2B5EF4-FFF2-40B4-BE49-F238E27FC236}">
              <a16:creationId xmlns:a16="http://schemas.microsoft.com/office/drawing/2014/main" id="{00000000-0008-0000-0100-000071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211925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48</xdr:row>
      <xdr:rowOff>47625</xdr:rowOff>
    </xdr:from>
    <xdr:to>
      <xdr:col>0</xdr:col>
      <xdr:colOff>990600</xdr:colOff>
      <xdr:row>48</xdr:row>
      <xdr:rowOff>438150</xdr:rowOff>
    </xdr:to>
    <xdr:pic>
      <xdr:nvPicPr>
        <xdr:cNvPr id="149618" name="Picture 294" descr="Рисунок37">
          <a:extLst>
            <a:ext uri="{FF2B5EF4-FFF2-40B4-BE49-F238E27FC236}">
              <a16:creationId xmlns:a16="http://schemas.microsoft.com/office/drawing/2014/main" id="{00000000-0008-0000-0100-000072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697700"/>
          <a:ext cx="466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28</xdr:row>
      <xdr:rowOff>76200</xdr:rowOff>
    </xdr:from>
    <xdr:to>
      <xdr:col>0</xdr:col>
      <xdr:colOff>942975</xdr:colOff>
      <xdr:row>28</xdr:row>
      <xdr:rowOff>428625</xdr:rowOff>
    </xdr:to>
    <xdr:pic>
      <xdr:nvPicPr>
        <xdr:cNvPr id="149619" name="Picture 296">
          <a:extLst>
            <a:ext uri="{FF2B5EF4-FFF2-40B4-BE49-F238E27FC236}">
              <a16:creationId xmlns:a16="http://schemas.microsoft.com/office/drawing/2014/main" id="{00000000-0008-0000-0100-000073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231100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12</xdr:row>
      <xdr:rowOff>114300</xdr:rowOff>
    </xdr:from>
    <xdr:to>
      <xdr:col>0</xdr:col>
      <xdr:colOff>1552575</xdr:colOff>
      <xdr:row>13</xdr:row>
      <xdr:rowOff>666750</xdr:rowOff>
    </xdr:to>
    <xdr:pic>
      <xdr:nvPicPr>
        <xdr:cNvPr id="149620" name="Picture 283" descr="Рисунок4">
          <a:extLst>
            <a:ext uri="{FF2B5EF4-FFF2-40B4-BE49-F238E27FC236}">
              <a16:creationId xmlns:a16="http://schemas.microsoft.com/office/drawing/2014/main" id="{00000000-0008-0000-0100-000074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180118"/>
          <a:ext cx="14382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14</xdr:row>
      <xdr:rowOff>238125</xdr:rowOff>
    </xdr:from>
    <xdr:to>
      <xdr:col>0</xdr:col>
      <xdr:colOff>1552575</xdr:colOff>
      <xdr:row>15</xdr:row>
      <xdr:rowOff>714375</xdr:rowOff>
    </xdr:to>
    <xdr:pic>
      <xdr:nvPicPr>
        <xdr:cNvPr id="149621" name="Picture 284" descr="Рисунок2">
          <a:extLst>
            <a:ext uri="{FF2B5EF4-FFF2-40B4-BE49-F238E27FC236}">
              <a16:creationId xmlns:a16="http://schemas.microsoft.com/office/drawing/2014/main" id="{00000000-0008-0000-0100-000075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827943"/>
          <a:ext cx="1438275" cy="135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22</xdr:row>
      <xdr:rowOff>47625</xdr:rowOff>
    </xdr:from>
    <xdr:to>
      <xdr:col>0</xdr:col>
      <xdr:colOff>904875</xdr:colOff>
      <xdr:row>22</xdr:row>
      <xdr:rowOff>447675</xdr:rowOff>
    </xdr:to>
    <xdr:pic>
      <xdr:nvPicPr>
        <xdr:cNvPr id="149624" name="Рисунок 18">
          <a:extLst>
            <a:ext uri="{FF2B5EF4-FFF2-40B4-BE49-F238E27FC236}">
              <a16:creationId xmlns:a16="http://schemas.microsoft.com/office/drawing/2014/main" id="{00000000-0008-0000-0100-0000784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21" b="20291"/>
        <a:stretch>
          <a:fillRect/>
        </a:stretch>
      </xdr:blipFill>
      <xdr:spPr bwMode="auto">
        <a:xfrm>
          <a:off x="371475" y="16668750"/>
          <a:ext cx="533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4</xdr:row>
      <xdr:rowOff>142875</xdr:rowOff>
    </xdr:from>
    <xdr:to>
      <xdr:col>0</xdr:col>
      <xdr:colOff>1562100</xdr:colOff>
      <xdr:row>7</xdr:row>
      <xdr:rowOff>476251</xdr:rowOff>
    </xdr:to>
    <xdr:pic>
      <xdr:nvPicPr>
        <xdr:cNvPr id="149625" name="Рисунок 21">
          <a:extLst>
            <a:ext uri="{FF2B5EF4-FFF2-40B4-BE49-F238E27FC236}">
              <a16:creationId xmlns:a16="http://schemas.microsoft.com/office/drawing/2014/main" id="{00000000-0008-0000-0100-0000794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294784"/>
          <a:ext cx="1457325" cy="13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220807</xdr:colOff>
      <xdr:row>44</xdr:row>
      <xdr:rowOff>135082</xdr:rowOff>
    </xdr:from>
    <xdr:to>
      <xdr:col>0</xdr:col>
      <xdr:colOff>1354282</xdr:colOff>
      <xdr:row>45</xdr:row>
      <xdr:rowOff>382731</xdr:rowOff>
    </xdr:to>
    <xdr:pic>
      <xdr:nvPicPr>
        <xdr:cNvPr id="149626" name="Рисунок 15">
          <a:extLst>
            <a:ext uri="{FF2B5EF4-FFF2-40B4-BE49-F238E27FC236}">
              <a16:creationId xmlns:a16="http://schemas.microsoft.com/office/drawing/2014/main" id="{00000000-0008-0000-0100-00007A4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07" y="22856537"/>
          <a:ext cx="1133475" cy="749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51</xdr:row>
      <xdr:rowOff>123825</xdr:rowOff>
    </xdr:from>
    <xdr:to>
      <xdr:col>0</xdr:col>
      <xdr:colOff>1276350</xdr:colOff>
      <xdr:row>51</xdr:row>
      <xdr:rowOff>590550</xdr:rowOff>
    </xdr:to>
    <xdr:pic>
      <xdr:nvPicPr>
        <xdr:cNvPr id="149627" name="Picture 277" descr="Рисунок27">
          <a:extLst>
            <a:ext uri="{FF2B5EF4-FFF2-40B4-BE49-F238E27FC236}">
              <a16:creationId xmlns:a16="http://schemas.microsoft.com/office/drawing/2014/main" id="{00000000-0008-0000-0100-00007B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669500"/>
          <a:ext cx="1047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50</xdr:row>
      <xdr:rowOff>85725</xdr:rowOff>
    </xdr:from>
    <xdr:to>
      <xdr:col>0</xdr:col>
      <xdr:colOff>1152525</xdr:colOff>
      <xdr:row>50</xdr:row>
      <xdr:rowOff>523875</xdr:rowOff>
    </xdr:to>
    <xdr:pic>
      <xdr:nvPicPr>
        <xdr:cNvPr id="149629" name="Picture 279" descr="Рисунок26">
          <a:extLst>
            <a:ext uri="{FF2B5EF4-FFF2-40B4-BE49-F238E27FC236}">
              <a16:creationId xmlns:a16="http://schemas.microsoft.com/office/drawing/2014/main" id="{00000000-0008-0000-0100-00007D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1374100"/>
          <a:ext cx="790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49</xdr:row>
      <xdr:rowOff>190500</xdr:rowOff>
    </xdr:from>
    <xdr:to>
      <xdr:col>0</xdr:col>
      <xdr:colOff>1371600</xdr:colOff>
      <xdr:row>49</xdr:row>
      <xdr:rowOff>457200</xdr:rowOff>
    </xdr:to>
    <xdr:pic>
      <xdr:nvPicPr>
        <xdr:cNvPr id="149630" name="Рисунок 23" descr="dds.jpg">
          <a:extLst>
            <a:ext uri="{FF2B5EF4-FFF2-40B4-BE49-F238E27FC236}">
              <a16:creationId xmlns:a16="http://schemas.microsoft.com/office/drawing/2014/main" id="{00000000-0008-0000-0100-00007E4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850225"/>
          <a:ext cx="1228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346365</xdr:colOff>
      <xdr:row>37</xdr:row>
      <xdr:rowOff>51958</xdr:rowOff>
    </xdr:from>
    <xdr:to>
      <xdr:col>0</xdr:col>
      <xdr:colOff>1066365</xdr:colOff>
      <xdr:row>40</xdr:row>
      <xdr:rowOff>259486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365" y="14235549"/>
          <a:ext cx="720000" cy="1714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398318</xdr:colOff>
      <xdr:row>42</xdr:row>
      <xdr:rowOff>103908</xdr:rowOff>
    </xdr:from>
    <xdr:to>
      <xdr:col>0</xdr:col>
      <xdr:colOff>1046318</xdr:colOff>
      <xdr:row>43</xdr:row>
      <xdr:rowOff>428115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8318" y="18236044"/>
          <a:ext cx="648000" cy="826434"/>
        </a:xfrm>
        <a:prstGeom prst="rect">
          <a:avLst/>
        </a:prstGeom>
      </xdr:spPr>
    </xdr:pic>
    <xdr:clientData/>
  </xdr:twoCellAnchor>
  <xdr:twoCellAnchor editAs="oneCell">
    <xdr:from>
      <xdr:col>0</xdr:col>
      <xdr:colOff>10647</xdr:colOff>
      <xdr:row>30</xdr:row>
      <xdr:rowOff>17317</xdr:rowOff>
    </xdr:from>
    <xdr:to>
      <xdr:col>0</xdr:col>
      <xdr:colOff>1590008</xdr:colOff>
      <xdr:row>32</xdr:row>
      <xdr:rowOff>484908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32951"/>
        <a:stretch/>
      </xdr:blipFill>
      <xdr:spPr>
        <a:xfrm flipH="1">
          <a:off x="10647" y="13196453"/>
          <a:ext cx="1579361" cy="1472046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190495</xdr:colOff>
      <xdr:row>34</xdr:row>
      <xdr:rowOff>121226</xdr:rowOff>
    </xdr:from>
    <xdr:to>
      <xdr:col>0</xdr:col>
      <xdr:colOff>1422496</xdr:colOff>
      <xdr:row>35</xdr:row>
      <xdr:rowOff>410998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0495" y="14304817"/>
          <a:ext cx="1232001" cy="79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380997</xdr:colOff>
      <xdr:row>46</xdr:row>
      <xdr:rowOff>51954</xdr:rowOff>
    </xdr:from>
    <xdr:to>
      <xdr:col>0</xdr:col>
      <xdr:colOff>1163003</xdr:colOff>
      <xdr:row>46</xdr:row>
      <xdr:rowOff>591954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7" y="21041590"/>
          <a:ext cx="782006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</xdr:row>
      <xdr:rowOff>74470</xdr:rowOff>
    </xdr:from>
    <xdr:to>
      <xdr:col>0</xdr:col>
      <xdr:colOff>1562100</xdr:colOff>
      <xdr:row>9</xdr:row>
      <xdr:rowOff>883228</xdr:rowOff>
    </xdr:to>
    <xdr:pic>
      <xdr:nvPicPr>
        <xdr:cNvPr id="24" name="Рисунок 2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854288"/>
          <a:ext cx="1457325" cy="112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450274</xdr:colOff>
      <xdr:row>47</xdr:row>
      <xdr:rowOff>51954</xdr:rowOff>
    </xdr:from>
    <xdr:to>
      <xdr:col>0</xdr:col>
      <xdr:colOff>965011</xdr:colOff>
      <xdr:row>47</xdr:row>
      <xdr:rowOff>591954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74" y="22894636"/>
          <a:ext cx="514737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116182</xdr:colOff>
      <xdr:row>20</xdr:row>
      <xdr:rowOff>51954</xdr:rowOff>
    </xdr:from>
    <xdr:to>
      <xdr:col>0</xdr:col>
      <xdr:colOff>1316182</xdr:colOff>
      <xdr:row>21</xdr:row>
      <xdr:rowOff>328500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66182" y="12076636"/>
          <a:ext cx="900000" cy="1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25</xdr:row>
      <xdr:rowOff>103909</xdr:rowOff>
    </xdr:from>
    <xdr:to>
      <xdr:col>0</xdr:col>
      <xdr:colOff>1397577</xdr:colOff>
      <xdr:row>26</xdr:row>
      <xdr:rowOff>437285</xdr:rowOff>
    </xdr:to>
    <xdr:pic>
      <xdr:nvPicPr>
        <xdr:cNvPr id="25" name="Picture 29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14356773"/>
          <a:ext cx="1276350" cy="835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199160</xdr:colOff>
      <xdr:row>20</xdr:row>
      <xdr:rowOff>17318</xdr:rowOff>
    </xdr:from>
    <xdr:to>
      <xdr:col>0</xdr:col>
      <xdr:colOff>3099956</xdr:colOff>
      <xdr:row>21</xdr:row>
      <xdr:rowOff>242456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99160" y="6736773"/>
          <a:ext cx="2900796" cy="502228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ysClr val="windowText" lastClr="00000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>
              <a:solidFill>
                <a:schemeClr val="bg1"/>
              </a:solidFill>
            </a:rPr>
            <a:t>переход</a:t>
          </a:r>
          <a:r>
            <a:rPr lang="ru-RU" sz="1400" baseline="0">
              <a:solidFill>
                <a:schemeClr val="bg1"/>
              </a:solidFill>
            </a:rPr>
            <a:t> на </a:t>
          </a:r>
          <a:r>
            <a:rPr lang="ru-RU" sz="1400" b="1" baseline="0">
              <a:solidFill>
                <a:schemeClr val="bg1"/>
              </a:solidFill>
            </a:rPr>
            <a:t>Ограждения </a:t>
          </a:r>
          <a:r>
            <a:rPr lang="en-US" sz="1400" b="1" baseline="0">
              <a:solidFill>
                <a:schemeClr val="bg1"/>
              </a:solidFill>
            </a:rPr>
            <a:t>Medium </a:t>
          </a:r>
          <a:endParaRPr lang="ru-RU" sz="1400" b="1" baseline="0">
            <a:solidFill>
              <a:schemeClr val="bg1"/>
            </a:solidFill>
          </a:endParaRPr>
        </a:p>
        <a:p>
          <a:pPr algn="ctr"/>
          <a:r>
            <a:rPr lang="ru-RU" sz="1400" baseline="0">
              <a:solidFill>
                <a:schemeClr val="bg1"/>
              </a:solidFill>
            </a:rPr>
            <a:t>на сайте </a:t>
          </a:r>
          <a:r>
            <a:rPr lang="en-US" sz="1400" baseline="0">
              <a:solidFill>
                <a:schemeClr val="bg1"/>
              </a:solidFill>
            </a:rPr>
            <a:t>www.grandline.ru</a:t>
          </a:r>
          <a:endParaRPr lang="ru-RU" sz="14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199160</xdr:colOff>
      <xdr:row>36</xdr:row>
      <xdr:rowOff>17317</xdr:rowOff>
    </xdr:from>
    <xdr:to>
      <xdr:col>0</xdr:col>
      <xdr:colOff>3099956</xdr:colOff>
      <xdr:row>37</xdr:row>
      <xdr:rowOff>207815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9160" y="11170226"/>
          <a:ext cx="2900796" cy="467589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ysClr val="windowText" lastClr="00000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>
              <a:solidFill>
                <a:schemeClr val="bg1"/>
              </a:solidFill>
            </a:rPr>
            <a:t>переход</a:t>
          </a:r>
          <a:r>
            <a:rPr lang="ru-RU" sz="1400" baseline="0">
              <a:solidFill>
                <a:schemeClr val="bg1"/>
              </a:solidFill>
            </a:rPr>
            <a:t> на </a:t>
          </a:r>
          <a:r>
            <a:rPr lang="ru-RU" sz="1400" b="1" baseline="0">
              <a:solidFill>
                <a:schemeClr val="bg1"/>
              </a:solidFill>
            </a:rPr>
            <a:t>Ограждения </a:t>
          </a:r>
          <a:r>
            <a:rPr lang="en-US" sz="1400" b="1" baseline="0">
              <a:solidFill>
                <a:schemeClr val="bg1"/>
              </a:solidFill>
            </a:rPr>
            <a:t>Profi </a:t>
          </a:r>
          <a:endParaRPr lang="ru-RU" sz="1400" b="1" baseline="0">
            <a:solidFill>
              <a:schemeClr val="bg1"/>
            </a:solidFill>
          </a:endParaRPr>
        </a:p>
        <a:p>
          <a:pPr algn="ctr"/>
          <a:r>
            <a:rPr lang="ru-RU" sz="1400" baseline="0">
              <a:solidFill>
                <a:schemeClr val="bg1"/>
              </a:solidFill>
            </a:rPr>
            <a:t>на сайте </a:t>
          </a:r>
          <a:r>
            <a:rPr lang="en-US" sz="1400" baseline="0">
              <a:solidFill>
                <a:schemeClr val="bg1"/>
              </a:solidFill>
            </a:rPr>
            <a:t>www.grandline.ru</a:t>
          </a:r>
          <a:endParaRPr lang="ru-RU" sz="14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242454</xdr:colOff>
      <xdr:row>15</xdr:row>
      <xdr:rowOff>259772</xdr:rowOff>
    </xdr:from>
    <xdr:to>
      <xdr:col>0</xdr:col>
      <xdr:colOff>3143250</xdr:colOff>
      <xdr:row>17</xdr:row>
      <xdr:rowOff>235793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42454" y="6425045"/>
          <a:ext cx="2900796" cy="530203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ysClr val="windowText" lastClr="00000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>
              <a:solidFill>
                <a:schemeClr val="bg1"/>
              </a:solidFill>
            </a:rPr>
            <a:t>переход</a:t>
          </a:r>
          <a:r>
            <a:rPr lang="ru-RU" sz="1400" baseline="0">
              <a:solidFill>
                <a:schemeClr val="bg1"/>
              </a:solidFill>
            </a:rPr>
            <a:t> на </a:t>
          </a:r>
          <a:r>
            <a:rPr lang="ru-RU" sz="1400" b="1" baseline="0">
              <a:solidFill>
                <a:schemeClr val="bg1"/>
              </a:solidFill>
            </a:rPr>
            <a:t>Ограждения </a:t>
          </a:r>
          <a:r>
            <a:rPr lang="en-US" sz="1400" b="1" baseline="0">
              <a:solidFill>
                <a:schemeClr val="bg1"/>
              </a:solidFill>
            </a:rPr>
            <a:t>Bastion </a:t>
          </a:r>
          <a:endParaRPr lang="ru-RU" sz="1400" b="1" baseline="0">
            <a:solidFill>
              <a:schemeClr val="bg1"/>
            </a:solidFill>
          </a:endParaRPr>
        </a:p>
        <a:p>
          <a:pPr algn="ctr"/>
          <a:r>
            <a:rPr lang="ru-RU" sz="1400" baseline="0">
              <a:solidFill>
                <a:schemeClr val="bg1"/>
              </a:solidFill>
            </a:rPr>
            <a:t>на сайте </a:t>
          </a:r>
          <a:r>
            <a:rPr lang="en-US" sz="1400" baseline="0">
              <a:solidFill>
                <a:schemeClr val="bg1"/>
              </a:solidFill>
            </a:rPr>
            <a:t>www.grandline.ru</a:t>
          </a:r>
          <a:endParaRPr lang="ru-RU" sz="14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51</xdr:row>
      <xdr:rowOff>85725</xdr:rowOff>
    </xdr:from>
    <xdr:to>
      <xdr:col>0</xdr:col>
      <xdr:colOff>1562100</xdr:colOff>
      <xdr:row>51</xdr:row>
      <xdr:rowOff>733425</xdr:rowOff>
    </xdr:to>
    <xdr:pic>
      <xdr:nvPicPr>
        <xdr:cNvPr id="152729" name="Рисунок 7">
          <a:extLst>
            <a:ext uri="{FF2B5EF4-FFF2-40B4-BE49-F238E27FC236}">
              <a16:creationId xmlns:a16="http://schemas.microsoft.com/office/drawing/2014/main" id="{00000000-0008-0000-0500-000099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8087975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50</xdr:row>
      <xdr:rowOff>85725</xdr:rowOff>
    </xdr:from>
    <xdr:to>
      <xdr:col>0</xdr:col>
      <xdr:colOff>1943100</xdr:colOff>
      <xdr:row>50</xdr:row>
      <xdr:rowOff>733425</xdr:rowOff>
    </xdr:to>
    <xdr:pic>
      <xdr:nvPicPr>
        <xdr:cNvPr id="152730" name="Рисунок 6">
          <a:extLst>
            <a:ext uri="{FF2B5EF4-FFF2-40B4-BE49-F238E27FC236}">
              <a16:creationId xmlns:a16="http://schemas.microsoft.com/office/drawing/2014/main" id="{00000000-0008-0000-0500-00009A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7268825"/>
          <a:ext cx="952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4</xdr:row>
      <xdr:rowOff>238125</xdr:rowOff>
    </xdr:from>
    <xdr:to>
      <xdr:col>0</xdr:col>
      <xdr:colOff>1790700</xdr:colOff>
      <xdr:row>14</xdr:row>
      <xdr:rowOff>180975</xdr:rowOff>
    </xdr:to>
    <xdr:pic>
      <xdr:nvPicPr>
        <xdr:cNvPr id="152731" name="Рисунок 1">
          <a:extLst>
            <a:ext uri="{FF2B5EF4-FFF2-40B4-BE49-F238E27FC236}">
              <a16:creationId xmlns:a16="http://schemas.microsoft.com/office/drawing/2014/main" id="{00000000-0008-0000-0500-00009B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2638425"/>
          <a:ext cx="1057275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16</xdr:row>
      <xdr:rowOff>0</xdr:rowOff>
    </xdr:from>
    <xdr:to>
      <xdr:col>0</xdr:col>
      <xdr:colOff>2066925</xdr:colOff>
      <xdr:row>26</xdr:row>
      <xdr:rowOff>9525</xdr:rowOff>
    </xdr:to>
    <xdr:pic>
      <xdr:nvPicPr>
        <xdr:cNvPr id="152732" name="Рисунок 2">
          <a:extLst>
            <a:ext uri="{FF2B5EF4-FFF2-40B4-BE49-F238E27FC236}">
              <a16:creationId xmlns:a16="http://schemas.microsoft.com/office/drawing/2014/main" id="{00000000-0008-0000-0500-00009C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5943600"/>
          <a:ext cx="16002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31</xdr:row>
      <xdr:rowOff>285750</xdr:rowOff>
    </xdr:from>
    <xdr:to>
      <xdr:col>0</xdr:col>
      <xdr:colOff>1981200</xdr:colOff>
      <xdr:row>41</xdr:row>
      <xdr:rowOff>219075</xdr:rowOff>
    </xdr:to>
    <xdr:pic>
      <xdr:nvPicPr>
        <xdr:cNvPr id="152733" name="Рисунок 4">
          <a:extLst>
            <a:ext uri="{FF2B5EF4-FFF2-40B4-BE49-F238E27FC236}">
              <a16:creationId xmlns:a16="http://schemas.microsoft.com/office/drawing/2014/main" id="{00000000-0008-0000-0500-00009D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" y="10287000"/>
          <a:ext cx="15049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277091</xdr:colOff>
      <xdr:row>14</xdr:row>
      <xdr:rowOff>207823</xdr:rowOff>
    </xdr:from>
    <xdr:to>
      <xdr:col>0</xdr:col>
      <xdr:colOff>2251364</xdr:colOff>
      <xdr:row>15</xdr:row>
      <xdr:rowOff>225137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77091" y="5749641"/>
          <a:ext cx="1974273" cy="3117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Arial" pitchFamily="34" charset="0"/>
              <a:cs typeface="Arial" pitchFamily="34" charset="0"/>
            </a:rPr>
            <a:t>столб 62х55</a:t>
          </a:r>
        </a:p>
      </xdr:txBody>
    </xdr:sp>
    <xdr:clientData/>
  </xdr:twoCellAnchor>
  <xdr:twoCellAnchor>
    <xdr:from>
      <xdr:col>0</xdr:col>
      <xdr:colOff>277091</xdr:colOff>
      <xdr:row>28</xdr:row>
      <xdr:rowOff>69275</xdr:rowOff>
    </xdr:from>
    <xdr:to>
      <xdr:col>0</xdr:col>
      <xdr:colOff>2251364</xdr:colOff>
      <xdr:row>30</xdr:row>
      <xdr:rowOff>173184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77091" y="9074730"/>
          <a:ext cx="1974273" cy="398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Arial" pitchFamily="34" charset="0"/>
              <a:cs typeface="Arial" pitchFamily="34" charset="0"/>
            </a:rPr>
            <a:t>столб 80х80</a:t>
          </a:r>
        </a:p>
      </xdr:txBody>
    </xdr:sp>
    <xdr:clientData/>
  </xdr:twoCellAnchor>
  <xdr:twoCellAnchor>
    <xdr:from>
      <xdr:col>0</xdr:col>
      <xdr:colOff>242455</xdr:colOff>
      <xdr:row>41</xdr:row>
      <xdr:rowOff>294405</xdr:rowOff>
    </xdr:from>
    <xdr:to>
      <xdr:col>0</xdr:col>
      <xdr:colOff>2216728</xdr:colOff>
      <xdr:row>45</xdr:row>
      <xdr:rowOff>103905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2455" y="14858996"/>
          <a:ext cx="1974273" cy="398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Arial" pitchFamily="34" charset="0"/>
              <a:cs typeface="Arial" pitchFamily="34" charset="0"/>
            </a:rPr>
            <a:t>столб 90х55</a:t>
          </a:r>
        </a:p>
      </xdr:txBody>
    </xdr:sp>
    <xdr:clientData/>
  </xdr:twoCellAnchor>
  <xdr:twoCellAnchor editAs="oneCell">
    <xdr:from>
      <xdr:col>0</xdr:col>
      <xdr:colOff>809625</xdr:colOff>
      <xdr:row>56</xdr:row>
      <xdr:rowOff>104775</xdr:rowOff>
    </xdr:from>
    <xdr:to>
      <xdr:col>0</xdr:col>
      <xdr:colOff>1457325</xdr:colOff>
      <xdr:row>56</xdr:row>
      <xdr:rowOff>676275</xdr:rowOff>
    </xdr:to>
    <xdr:pic>
      <xdr:nvPicPr>
        <xdr:cNvPr id="152737" name="Рисунок 10">
          <a:extLst>
            <a:ext uri="{FF2B5EF4-FFF2-40B4-BE49-F238E27FC236}">
              <a16:creationId xmlns:a16="http://schemas.microsoft.com/office/drawing/2014/main" id="{00000000-0008-0000-0500-0000A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3021925"/>
          <a:ext cx="647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52</xdr:row>
      <xdr:rowOff>123825</xdr:rowOff>
    </xdr:from>
    <xdr:to>
      <xdr:col>0</xdr:col>
      <xdr:colOff>1685925</xdr:colOff>
      <xdr:row>52</xdr:row>
      <xdr:rowOff>733425</xdr:rowOff>
    </xdr:to>
    <xdr:pic>
      <xdr:nvPicPr>
        <xdr:cNvPr id="152738" name="Рисунок 22">
          <a:extLst>
            <a:ext uri="{FF2B5EF4-FFF2-40B4-BE49-F238E27FC236}">
              <a16:creationId xmlns:a16="http://schemas.microsoft.com/office/drawing/2014/main" id="{00000000-0008-0000-0500-0000A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8945225"/>
          <a:ext cx="1085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53</xdr:row>
      <xdr:rowOff>85725</xdr:rowOff>
    </xdr:from>
    <xdr:to>
      <xdr:col>0</xdr:col>
      <xdr:colOff>2143125</xdr:colOff>
      <xdr:row>53</xdr:row>
      <xdr:rowOff>695325</xdr:rowOff>
    </xdr:to>
    <xdr:pic>
      <xdr:nvPicPr>
        <xdr:cNvPr id="152739" name="Рисунок 23">
          <a:extLst>
            <a:ext uri="{FF2B5EF4-FFF2-40B4-BE49-F238E27FC236}">
              <a16:creationId xmlns:a16="http://schemas.microsoft.com/office/drawing/2014/main" id="{00000000-0008-0000-0500-0000A3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08" t="5957" r="22681" b="5093"/>
        <a:stretch>
          <a:fillRect/>
        </a:stretch>
      </xdr:blipFill>
      <xdr:spPr bwMode="auto">
        <a:xfrm>
          <a:off x="1438275" y="19726275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53</xdr:row>
      <xdr:rowOff>85725</xdr:rowOff>
    </xdr:from>
    <xdr:to>
      <xdr:col>0</xdr:col>
      <xdr:colOff>1123950</xdr:colOff>
      <xdr:row>53</xdr:row>
      <xdr:rowOff>695325</xdr:rowOff>
    </xdr:to>
    <xdr:pic>
      <xdr:nvPicPr>
        <xdr:cNvPr id="152740" name="Рисунок 24">
          <a:extLst>
            <a:ext uri="{FF2B5EF4-FFF2-40B4-BE49-F238E27FC236}">
              <a16:creationId xmlns:a16="http://schemas.microsoft.com/office/drawing/2014/main" id="{00000000-0008-0000-0500-0000A4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1" t="4897" r="16130" b="5914"/>
        <a:stretch>
          <a:fillRect/>
        </a:stretch>
      </xdr:blipFill>
      <xdr:spPr bwMode="auto">
        <a:xfrm>
          <a:off x="352425" y="197262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54</xdr:row>
      <xdr:rowOff>85725</xdr:rowOff>
    </xdr:from>
    <xdr:to>
      <xdr:col>0</xdr:col>
      <xdr:colOff>1295400</xdr:colOff>
      <xdr:row>54</xdr:row>
      <xdr:rowOff>733425</xdr:rowOff>
    </xdr:to>
    <xdr:pic>
      <xdr:nvPicPr>
        <xdr:cNvPr id="152741" name="Рисунок 25">
          <a:extLst>
            <a:ext uri="{FF2B5EF4-FFF2-40B4-BE49-F238E27FC236}">
              <a16:creationId xmlns:a16="http://schemas.microsoft.com/office/drawing/2014/main" id="{00000000-0008-0000-0500-0000A5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545425"/>
          <a:ext cx="11334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1581150</xdr:colOff>
      <xdr:row>54</xdr:row>
      <xdr:rowOff>85725</xdr:rowOff>
    </xdr:from>
    <xdr:to>
      <xdr:col>0</xdr:col>
      <xdr:colOff>2333625</xdr:colOff>
      <xdr:row>54</xdr:row>
      <xdr:rowOff>733425</xdr:rowOff>
    </xdr:to>
    <xdr:pic>
      <xdr:nvPicPr>
        <xdr:cNvPr id="152742" name="Рисунок 26">
          <a:extLst>
            <a:ext uri="{FF2B5EF4-FFF2-40B4-BE49-F238E27FC236}">
              <a16:creationId xmlns:a16="http://schemas.microsoft.com/office/drawing/2014/main" id="{00000000-0008-0000-0500-0000A6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08" t="5957" r="22681" b="5093"/>
        <a:stretch>
          <a:fillRect/>
        </a:stretch>
      </xdr:blipFill>
      <xdr:spPr bwMode="auto">
        <a:xfrm>
          <a:off x="1581150" y="20545425"/>
          <a:ext cx="7524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57</xdr:row>
      <xdr:rowOff>85725</xdr:rowOff>
    </xdr:from>
    <xdr:to>
      <xdr:col>0</xdr:col>
      <xdr:colOff>1619250</xdr:colOff>
      <xdr:row>57</xdr:row>
      <xdr:rowOff>695325</xdr:rowOff>
    </xdr:to>
    <xdr:pic>
      <xdr:nvPicPr>
        <xdr:cNvPr id="152743" name="Picture 295">
          <a:extLst>
            <a:ext uri="{FF2B5EF4-FFF2-40B4-BE49-F238E27FC236}">
              <a16:creationId xmlns:a16="http://schemas.microsoft.com/office/drawing/2014/main" id="{00000000-0008-0000-0500-0000A75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3764875"/>
          <a:ext cx="866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124693</xdr:colOff>
      <xdr:row>55</xdr:row>
      <xdr:rowOff>188767</xdr:rowOff>
    </xdr:from>
    <xdr:to>
      <xdr:col>0</xdr:col>
      <xdr:colOff>543793</xdr:colOff>
      <xdr:row>55</xdr:row>
      <xdr:rowOff>798367</xdr:rowOff>
    </xdr:to>
    <xdr:pic>
      <xdr:nvPicPr>
        <xdr:cNvPr id="152744" name="Рисунок 8">
          <a:extLst>
            <a:ext uri="{FF2B5EF4-FFF2-40B4-BE49-F238E27FC236}">
              <a16:creationId xmlns:a16="http://schemas.microsoft.com/office/drawing/2014/main" id="{00000000-0008-0000-0500-0000A8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93" y="21697949"/>
          <a:ext cx="419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49</xdr:row>
      <xdr:rowOff>85725</xdr:rowOff>
    </xdr:from>
    <xdr:to>
      <xdr:col>0</xdr:col>
      <xdr:colOff>1600200</xdr:colOff>
      <xdr:row>49</xdr:row>
      <xdr:rowOff>733425</xdr:rowOff>
    </xdr:to>
    <xdr:pic>
      <xdr:nvPicPr>
        <xdr:cNvPr id="152745" name="Рисунок 11">
          <a:extLst>
            <a:ext uri="{FF2B5EF4-FFF2-40B4-BE49-F238E27FC236}">
              <a16:creationId xmlns:a16="http://schemas.microsoft.com/office/drawing/2014/main" id="{00000000-0008-0000-0500-0000A9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449675"/>
          <a:ext cx="723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48</xdr:row>
      <xdr:rowOff>85725</xdr:rowOff>
    </xdr:from>
    <xdr:to>
      <xdr:col>0</xdr:col>
      <xdr:colOff>1590675</xdr:colOff>
      <xdr:row>48</xdr:row>
      <xdr:rowOff>733425</xdr:rowOff>
    </xdr:to>
    <xdr:pic>
      <xdr:nvPicPr>
        <xdr:cNvPr id="152746" name="Рисунок 13">
          <a:extLst>
            <a:ext uri="{FF2B5EF4-FFF2-40B4-BE49-F238E27FC236}">
              <a16:creationId xmlns:a16="http://schemas.microsoft.com/office/drawing/2014/main" id="{00000000-0008-0000-0500-0000AA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5630525"/>
          <a:ext cx="704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47</xdr:row>
      <xdr:rowOff>85725</xdr:rowOff>
    </xdr:from>
    <xdr:to>
      <xdr:col>0</xdr:col>
      <xdr:colOff>1504950</xdr:colOff>
      <xdr:row>47</xdr:row>
      <xdr:rowOff>733425</xdr:rowOff>
    </xdr:to>
    <xdr:pic>
      <xdr:nvPicPr>
        <xdr:cNvPr id="152747" name="Рисунок 14">
          <a:extLst>
            <a:ext uri="{FF2B5EF4-FFF2-40B4-BE49-F238E27FC236}">
              <a16:creationId xmlns:a16="http://schemas.microsoft.com/office/drawing/2014/main" id="{00000000-0008-0000-0500-0000AB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4811375"/>
          <a:ext cx="590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61</xdr:row>
      <xdr:rowOff>142875</xdr:rowOff>
    </xdr:from>
    <xdr:to>
      <xdr:col>0</xdr:col>
      <xdr:colOff>1485900</xdr:colOff>
      <xdr:row>61</xdr:row>
      <xdr:rowOff>685800</xdr:rowOff>
    </xdr:to>
    <xdr:pic>
      <xdr:nvPicPr>
        <xdr:cNvPr id="152748" name="Picture 146" descr="Рисунок37">
          <a:extLst>
            <a:ext uri="{FF2B5EF4-FFF2-40B4-BE49-F238E27FC236}">
              <a16:creationId xmlns:a16="http://schemas.microsoft.com/office/drawing/2014/main" id="{00000000-0008-0000-0500-0000AC5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6870025"/>
          <a:ext cx="628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58</xdr:row>
      <xdr:rowOff>209550</xdr:rowOff>
    </xdr:from>
    <xdr:to>
      <xdr:col>0</xdr:col>
      <xdr:colOff>2009775</xdr:colOff>
      <xdr:row>58</xdr:row>
      <xdr:rowOff>609600</xdr:rowOff>
    </xdr:to>
    <xdr:pic>
      <xdr:nvPicPr>
        <xdr:cNvPr id="152749" name="Picture 174" descr="Рисунок3">
          <a:extLst>
            <a:ext uri="{FF2B5EF4-FFF2-40B4-BE49-F238E27FC236}">
              <a16:creationId xmlns:a16="http://schemas.microsoft.com/office/drawing/2014/main" id="{00000000-0008-0000-0500-0000AD5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4650700"/>
          <a:ext cx="16954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59</xdr:row>
      <xdr:rowOff>133350</xdr:rowOff>
    </xdr:from>
    <xdr:to>
      <xdr:col>0</xdr:col>
      <xdr:colOff>1552575</xdr:colOff>
      <xdr:row>59</xdr:row>
      <xdr:rowOff>676275</xdr:rowOff>
    </xdr:to>
    <xdr:pic>
      <xdr:nvPicPr>
        <xdr:cNvPr id="152750" name="Рисунок 30">
          <a:extLst>
            <a:ext uri="{FF2B5EF4-FFF2-40B4-BE49-F238E27FC236}">
              <a16:creationId xmlns:a16="http://schemas.microsoft.com/office/drawing/2014/main" id="{00000000-0008-0000-0500-0000AE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336500"/>
          <a:ext cx="10287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981075</xdr:colOff>
      <xdr:row>60</xdr:row>
      <xdr:rowOff>123825</xdr:rowOff>
    </xdr:from>
    <xdr:to>
      <xdr:col>0</xdr:col>
      <xdr:colOff>1371600</xdr:colOff>
      <xdr:row>60</xdr:row>
      <xdr:rowOff>657225</xdr:rowOff>
    </xdr:to>
    <xdr:pic>
      <xdr:nvPicPr>
        <xdr:cNvPr id="152751" name="Рисунок 31">
          <a:extLst>
            <a:ext uri="{FF2B5EF4-FFF2-40B4-BE49-F238E27FC236}">
              <a16:creationId xmlns:a16="http://schemas.microsoft.com/office/drawing/2014/main" id="{00000000-0008-0000-0500-0000AF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6088975"/>
          <a:ext cx="390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621572</xdr:colOff>
      <xdr:row>55</xdr:row>
      <xdr:rowOff>187567</xdr:rowOff>
    </xdr:from>
    <xdr:to>
      <xdr:col>0</xdr:col>
      <xdr:colOff>1526949</xdr:colOff>
      <xdr:row>55</xdr:row>
      <xdr:rowOff>799567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572" y="21696749"/>
          <a:ext cx="90537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1604728</xdr:colOff>
      <xdr:row>55</xdr:row>
      <xdr:rowOff>187567</xdr:rowOff>
    </xdr:from>
    <xdr:to>
      <xdr:col>0</xdr:col>
      <xdr:colOff>2445513</xdr:colOff>
      <xdr:row>55</xdr:row>
      <xdr:rowOff>799567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4728" y="21696749"/>
          <a:ext cx="840785" cy="61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92651</xdr:colOff>
      <xdr:row>22</xdr:row>
      <xdr:rowOff>89189</xdr:rowOff>
    </xdr:from>
    <xdr:to>
      <xdr:col>0</xdr:col>
      <xdr:colOff>1244651</xdr:colOff>
      <xdr:row>23</xdr:row>
      <xdr:rowOff>499306</xdr:rowOff>
    </xdr:to>
    <xdr:pic>
      <xdr:nvPicPr>
        <xdr:cNvPr id="153769" name="Picture 155" descr="Рисунок4">
          <a:extLst>
            <a:ext uri="{FF2B5EF4-FFF2-40B4-BE49-F238E27FC236}">
              <a16:creationId xmlns:a16="http://schemas.microsoft.com/office/drawing/2014/main" id="{00000000-0008-0000-0600-0000A95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51" y="16766598"/>
          <a:ext cx="1152000" cy="112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865907</xdr:colOff>
      <xdr:row>21</xdr:row>
      <xdr:rowOff>93517</xdr:rowOff>
    </xdr:from>
    <xdr:to>
      <xdr:col>0</xdr:col>
      <xdr:colOff>1521908</xdr:colOff>
      <xdr:row>21</xdr:row>
      <xdr:rowOff>1101517</xdr:rowOff>
    </xdr:to>
    <xdr:pic>
      <xdr:nvPicPr>
        <xdr:cNvPr id="153770" name="Picture 156" descr="Рисунок5">
          <a:extLst>
            <a:ext uri="{FF2B5EF4-FFF2-40B4-BE49-F238E27FC236}">
              <a16:creationId xmlns:a16="http://schemas.microsoft.com/office/drawing/2014/main" id="{00000000-0008-0000-0600-0000AA5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7" y="15627926"/>
          <a:ext cx="656001" cy="10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152376</xdr:colOff>
      <xdr:row>31</xdr:row>
      <xdr:rowOff>75335</xdr:rowOff>
    </xdr:from>
    <xdr:to>
      <xdr:col>0</xdr:col>
      <xdr:colOff>2384894</xdr:colOff>
      <xdr:row>35</xdr:row>
      <xdr:rowOff>229699</xdr:rowOff>
    </xdr:to>
    <xdr:pic>
      <xdr:nvPicPr>
        <xdr:cNvPr id="153773" name="Picture 34" descr="СББ">
          <a:extLst>
            <a:ext uri="{FF2B5EF4-FFF2-40B4-BE49-F238E27FC236}">
              <a16:creationId xmlns:a16="http://schemas.microsoft.com/office/drawing/2014/main" id="{00000000-0008-0000-0600-0000AD5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6" y="23229744"/>
          <a:ext cx="2232518" cy="13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224635</xdr:colOff>
      <xdr:row>36</xdr:row>
      <xdr:rowOff>49222</xdr:rowOff>
    </xdr:from>
    <xdr:to>
      <xdr:col>0</xdr:col>
      <xdr:colOff>2312635</xdr:colOff>
      <xdr:row>39</xdr:row>
      <xdr:rowOff>214226</xdr:rowOff>
    </xdr:to>
    <xdr:pic>
      <xdr:nvPicPr>
        <xdr:cNvPr id="153774" name="Picture 35" descr="ПББ">
          <a:extLst>
            <a:ext uri="{FF2B5EF4-FFF2-40B4-BE49-F238E27FC236}">
              <a16:creationId xmlns:a16="http://schemas.microsoft.com/office/drawing/2014/main" id="{00000000-0008-0000-0600-0000AE5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35" y="24675677"/>
          <a:ext cx="2088000" cy="1048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849535</xdr:colOff>
      <xdr:row>40</xdr:row>
      <xdr:rowOff>57150</xdr:rowOff>
    </xdr:from>
    <xdr:to>
      <xdr:col>0</xdr:col>
      <xdr:colOff>1687735</xdr:colOff>
      <xdr:row>41</xdr:row>
      <xdr:rowOff>590550</xdr:rowOff>
    </xdr:to>
    <xdr:pic>
      <xdr:nvPicPr>
        <xdr:cNvPr id="153775" name="Picture 36" descr="Струна">
          <a:extLst>
            <a:ext uri="{FF2B5EF4-FFF2-40B4-BE49-F238E27FC236}">
              <a16:creationId xmlns:a16="http://schemas.microsoft.com/office/drawing/2014/main" id="{00000000-0008-0000-0600-0000AF5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35" y="25861241"/>
          <a:ext cx="838200" cy="82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25</xdr:row>
      <xdr:rowOff>66675</xdr:rowOff>
    </xdr:from>
    <xdr:to>
      <xdr:col>0</xdr:col>
      <xdr:colOff>1485900</xdr:colOff>
      <xdr:row>25</xdr:row>
      <xdr:rowOff>676275</xdr:rowOff>
    </xdr:to>
    <xdr:pic>
      <xdr:nvPicPr>
        <xdr:cNvPr id="153776" name="Рисунок 36" descr="Основание столба_усиленное.jpg">
          <a:extLst>
            <a:ext uri="{FF2B5EF4-FFF2-40B4-BE49-F238E27FC236}">
              <a16:creationId xmlns:a16="http://schemas.microsoft.com/office/drawing/2014/main" id="{00000000-0008-0000-0600-0000B0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5921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29</xdr:row>
      <xdr:rowOff>66675</xdr:rowOff>
    </xdr:from>
    <xdr:to>
      <xdr:col>0</xdr:col>
      <xdr:colOff>1457325</xdr:colOff>
      <xdr:row>29</xdr:row>
      <xdr:rowOff>514350</xdr:rowOff>
    </xdr:to>
    <xdr:pic>
      <xdr:nvPicPr>
        <xdr:cNvPr id="153778" name="Рисунок 41" descr="Приспособление для винтовых опор.png">
          <a:extLst>
            <a:ext uri="{FF2B5EF4-FFF2-40B4-BE49-F238E27FC236}">
              <a16:creationId xmlns:a16="http://schemas.microsoft.com/office/drawing/2014/main" id="{00000000-0008-0000-0600-0000B2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39265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26</xdr:row>
      <xdr:rowOff>190500</xdr:rowOff>
    </xdr:from>
    <xdr:to>
      <xdr:col>0</xdr:col>
      <xdr:colOff>1762125</xdr:colOff>
      <xdr:row>26</xdr:row>
      <xdr:rowOff>476250</xdr:rowOff>
    </xdr:to>
    <xdr:pic>
      <xdr:nvPicPr>
        <xdr:cNvPr id="153779" name="Рисунок 1">
          <a:extLst>
            <a:ext uri="{FF2B5EF4-FFF2-40B4-BE49-F238E27FC236}">
              <a16:creationId xmlns:a16="http://schemas.microsoft.com/office/drawing/2014/main" id="{00000000-0008-0000-0600-0000B3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420850"/>
          <a:ext cx="1295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28</xdr:row>
      <xdr:rowOff>95250</xdr:rowOff>
    </xdr:from>
    <xdr:to>
      <xdr:col>0</xdr:col>
      <xdr:colOff>1781175</xdr:colOff>
      <xdr:row>28</xdr:row>
      <xdr:rowOff>590550</xdr:rowOff>
    </xdr:to>
    <xdr:pic>
      <xdr:nvPicPr>
        <xdr:cNvPr id="153780" name="Рисунок 2">
          <a:extLst>
            <a:ext uri="{FF2B5EF4-FFF2-40B4-BE49-F238E27FC236}">
              <a16:creationId xmlns:a16="http://schemas.microsoft.com/office/drawing/2014/main" id="{00000000-0008-0000-0600-0000B4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792575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149448</xdr:colOff>
      <xdr:row>27</xdr:row>
      <xdr:rowOff>122096</xdr:rowOff>
    </xdr:from>
    <xdr:to>
      <xdr:col>0</xdr:col>
      <xdr:colOff>2387823</xdr:colOff>
      <xdr:row>27</xdr:row>
      <xdr:rowOff>802700</xdr:rowOff>
    </xdr:to>
    <xdr:pic>
      <xdr:nvPicPr>
        <xdr:cNvPr id="153781" name="Рисунок 5">
          <a:extLst>
            <a:ext uri="{FF2B5EF4-FFF2-40B4-BE49-F238E27FC236}">
              <a16:creationId xmlns:a16="http://schemas.microsoft.com/office/drawing/2014/main" id="{00000000-0008-0000-0600-0000B5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48" y="20245823"/>
          <a:ext cx="2238375" cy="6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6</xdr:row>
      <xdr:rowOff>66675</xdr:rowOff>
    </xdr:from>
    <xdr:to>
      <xdr:col>0</xdr:col>
      <xdr:colOff>1295400</xdr:colOff>
      <xdr:row>6</xdr:row>
      <xdr:rowOff>638175</xdr:rowOff>
    </xdr:to>
    <xdr:pic>
      <xdr:nvPicPr>
        <xdr:cNvPr id="153784" name="Picture 926" descr="L приваренный">
          <a:extLst>
            <a:ext uri="{FF2B5EF4-FFF2-40B4-BE49-F238E27FC236}">
              <a16:creationId xmlns:a16="http://schemas.microsoft.com/office/drawing/2014/main" id="{00000000-0008-0000-0600-0000B85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514850"/>
          <a:ext cx="3238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7</xdr:row>
      <xdr:rowOff>95250</xdr:rowOff>
    </xdr:from>
    <xdr:to>
      <xdr:col>0</xdr:col>
      <xdr:colOff>1419225</xdr:colOff>
      <xdr:row>7</xdr:row>
      <xdr:rowOff>647700</xdr:rowOff>
    </xdr:to>
    <xdr:pic>
      <xdr:nvPicPr>
        <xdr:cNvPr id="153785" name="Picture 927" descr="V приваренный">
          <a:extLst>
            <a:ext uri="{FF2B5EF4-FFF2-40B4-BE49-F238E27FC236}">
              <a16:creationId xmlns:a16="http://schemas.microsoft.com/office/drawing/2014/main" id="{00000000-0008-0000-0600-0000B95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248275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8</xdr:row>
      <xdr:rowOff>247650</xdr:rowOff>
    </xdr:from>
    <xdr:to>
      <xdr:col>0</xdr:col>
      <xdr:colOff>2324100</xdr:colOff>
      <xdr:row>9</xdr:row>
      <xdr:rowOff>228600</xdr:rowOff>
    </xdr:to>
    <xdr:pic>
      <xdr:nvPicPr>
        <xdr:cNvPr id="153786" name="Рисунок 34" descr="Наконечник прямой_8017.jpg">
          <a:extLst>
            <a:ext uri="{FF2B5EF4-FFF2-40B4-BE49-F238E27FC236}">
              <a16:creationId xmlns:a16="http://schemas.microsoft.com/office/drawing/2014/main" id="{00000000-0008-0000-0600-0000BA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867415">
          <a:off x="1028700" y="5295900"/>
          <a:ext cx="48577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12</xdr:row>
      <xdr:rowOff>19050</xdr:rowOff>
    </xdr:from>
    <xdr:to>
      <xdr:col>0</xdr:col>
      <xdr:colOff>1304925</xdr:colOff>
      <xdr:row>12</xdr:row>
      <xdr:rowOff>647700</xdr:rowOff>
    </xdr:to>
    <xdr:pic>
      <xdr:nvPicPr>
        <xdr:cNvPr id="153787" name="Рисунок 42" descr="наконечник для уличного освещения.png">
          <a:extLst>
            <a:ext uri="{FF2B5EF4-FFF2-40B4-BE49-F238E27FC236}">
              <a16:creationId xmlns:a16="http://schemas.microsoft.com/office/drawing/2014/main" id="{00000000-0008-0000-0600-0000BB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8296275"/>
          <a:ext cx="314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847725</xdr:colOff>
      <xdr:row>10</xdr:row>
      <xdr:rowOff>47625</xdr:rowOff>
    </xdr:from>
    <xdr:to>
      <xdr:col>0</xdr:col>
      <xdr:colOff>1400175</xdr:colOff>
      <xdr:row>10</xdr:row>
      <xdr:rowOff>590550</xdr:rowOff>
    </xdr:to>
    <xdr:pic>
      <xdr:nvPicPr>
        <xdr:cNvPr id="153788" name="Рисунок 1">
          <a:extLst>
            <a:ext uri="{FF2B5EF4-FFF2-40B4-BE49-F238E27FC236}">
              <a16:creationId xmlns:a16="http://schemas.microsoft.com/office/drawing/2014/main" id="{00000000-0008-0000-0600-0000BC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691515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11</xdr:row>
      <xdr:rowOff>66675</xdr:rowOff>
    </xdr:from>
    <xdr:to>
      <xdr:col>0</xdr:col>
      <xdr:colOff>1571625</xdr:colOff>
      <xdr:row>11</xdr:row>
      <xdr:rowOff>600075</xdr:rowOff>
    </xdr:to>
    <xdr:pic>
      <xdr:nvPicPr>
        <xdr:cNvPr id="153789" name="Рисунок 6">
          <a:extLst>
            <a:ext uri="{FF2B5EF4-FFF2-40B4-BE49-F238E27FC236}">
              <a16:creationId xmlns:a16="http://schemas.microsoft.com/office/drawing/2014/main" id="{00000000-0008-0000-0600-0000BD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639050"/>
          <a:ext cx="933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4</xdr:row>
      <xdr:rowOff>619125</xdr:rowOff>
    </xdr:from>
    <xdr:to>
      <xdr:col>0</xdr:col>
      <xdr:colOff>1838325</xdr:colOff>
      <xdr:row>6</xdr:row>
      <xdr:rowOff>47625</xdr:rowOff>
    </xdr:to>
    <xdr:pic>
      <xdr:nvPicPr>
        <xdr:cNvPr id="153790" name="Рисунок 8">
          <a:extLst>
            <a:ext uri="{FF2B5EF4-FFF2-40B4-BE49-F238E27FC236}">
              <a16:creationId xmlns:a16="http://schemas.microsoft.com/office/drawing/2014/main" id="{00000000-0008-0000-0600-0000BE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853938">
          <a:off x="733425" y="3390900"/>
          <a:ext cx="8382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4</xdr:row>
      <xdr:rowOff>47625</xdr:rowOff>
    </xdr:from>
    <xdr:to>
      <xdr:col>0</xdr:col>
      <xdr:colOff>1733550</xdr:colOff>
      <xdr:row>4</xdr:row>
      <xdr:rowOff>666750</xdr:rowOff>
    </xdr:to>
    <xdr:pic>
      <xdr:nvPicPr>
        <xdr:cNvPr id="153791" name="Рисунок 10">
          <a:extLst>
            <a:ext uri="{FF2B5EF4-FFF2-40B4-BE49-F238E27FC236}">
              <a16:creationId xmlns:a16="http://schemas.microsoft.com/office/drawing/2014/main" id="{00000000-0008-0000-0600-0000BF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861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2</xdr:row>
      <xdr:rowOff>695325</xdr:rowOff>
    </xdr:from>
    <xdr:to>
      <xdr:col>0</xdr:col>
      <xdr:colOff>1543050</xdr:colOff>
      <xdr:row>4</xdr:row>
      <xdr:rowOff>200025</xdr:rowOff>
    </xdr:to>
    <xdr:pic>
      <xdr:nvPicPr>
        <xdr:cNvPr id="153792" name="Рисунок 14">
          <a:extLst>
            <a:ext uri="{FF2B5EF4-FFF2-40B4-BE49-F238E27FC236}">
              <a16:creationId xmlns:a16="http://schemas.microsoft.com/office/drawing/2014/main" id="{00000000-0008-0000-0600-0000C0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60000">
          <a:off x="742950" y="2076450"/>
          <a:ext cx="800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20</xdr:row>
      <xdr:rowOff>123825</xdr:rowOff>
    </xdr:from>
    <xdr:to>
      <xdr:col>0</xdr:col>
      <xdr:colOff>1524000</xdr:colOff>
      <xdr:row>20</xdr:row>
      <xdr:rowOff>628650</xdr:rowOff>
    </xdr:to>
    <xdr:pic>
      <xdr:nvPicPr>
        <xdr:cNvPr id="153794" name="Рисунок 16">
          <a:extLst>
            <a:ext uri="{FF2B5EF4-FFF2-40B4-BE49-F238E27FC236}">
              <a16:creationId xmlns:a16="http://schemas.microsoft.com/office/drawing/2014/main" id="{00000000-0008-0000-0600-0000C2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877550"/>
          <a:ext cx="866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847725</xdr:colOff>
      <xdr:row>13</xdr:row>
      <xdr:rowOff>66675</xdr:rowOff>
    </xdr:from>
    <xdr:to>
      <xdr:col>0</xdr:col>
      <xdr:colOff>1390650</xdr:colOff>
      <xdr:row>13</xdr:row>
      <xdr:rowOff>790575</xdr:rowOff>
    </xdr:to>
    <xdr:pic>
      <xdr:nvPicPr>
        <xdr:cNvPr id="153795" name="Рисунок 3">
          <a:extLst>
            <a:ext uri="{FF2B5EF4-FFF2-40B4-BE49-F238E27FC236}">
              <a16:creationId xmlns:a16="http://schemas.microsoft.com/office/drawing/2014/main" id="{00000000-0008-0000-0600-0000C3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048750"/>
          <a:ext cx="542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14</xdr:row>
      <xdr:rowOff>104775</xdr:rowOff>
    </xdr:from>
    <xdr:to>
      <xdr:col>0</xdr:col>
      <xdr:colOff>1676400</xdr:colOff>
      <xdr:row>14</xdr:row>
      <xdr:rowOff>819150</xdr:rowOff>
    </xdr:to>
    <xdr:pic>
      <xdr:nvPicPr>
        <xdr:cNvPr id="153796" name="Рисунок 13">
          <a:extLst>
            <a:ext uri="{FF2B5EF4-FFF2-40B4-BE49-F238E27FC236}">
              <a16:creationId xmlns:a16="http://schemas.microsoft.com/office/drawing/2014/main" id="{00000000-0008-0000-0600-0000C45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972675"/>
          <a:ext cx="1123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103908</xdr:colOff>
      <xdr:row>15</xdr:row>
      <xdr:rowOff>155864</xdr:rowOff>
    </xdr:from>
    <xdr:to>
      <xdr:col>0</xdr:col>
      <xdr:colOff>2443908</xdr:colOff>
      <xdr:row>16</xdr:row>
      <xdr:rowOff>658159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8" y="10945091"/>
          <a:ext cx="2340000" cy="1316250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102575</xdr:colOff>
      <xdr:row>17</xdr:row>
      <xdr:rowOff>129218</xdr:rowOff>
    </xdr:from>
    <xdr:to>
      <xdr:col>0</xdr:col>
      <xdr:colOff>2442575</xdr:colOff>
      <xdr:row>17</xdr:row>
      <xdr:rowOff>360599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75" y="12546354"/>
          <a:ext cx="2340000" cy="231381"/>
        </a:xfrm>
        <a:prstGeom prst="rect">
          <a:avLst/>
        </a:prstGeom>
      </xdr:spPr>
    </xdr:pic>
    <xdr:clientData/>
  </xdr:twoCellAnchor>
  <xdr:twoCellAnchor editAs="oneCell">
    <xdr:from>
      <xdr:col>0</xdr:col>
      <xdr:colOff>1534457</xdr:colOff>
      <xdr:row>17</xdr:row>
      <xdr:rowOff>726429</xdr:rowOff>
    </xdr:from>
    <xdr:to>
      <xdr:col>0</xdr:col>
      <xdr:colOff>1966457</xdr:colOff>
      <xdr:row>19</xdr:row>
      <xdr:rowOff>71454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57" y="13143565"/>
          <a:ext cx="432000" cy="869025"/>
        </a:xfrm>
        <a:prstGeom prst="rect">
          <a:avLst/>
        </a:prstGeom>
      </xdr:spPr>
    </xdr:pic>
    <xdr:clientData/>
  </xdr:twoCellAnchor>
  <xdr:twoCellAnchor editAs="oneCell">
    <xdr:from>
      <xdr:col>0</xdr:col>
      <xdr:colOff>2028091</xdr:colOff>
      <xdr:row>18</xdr:row>
      <xdr:rowOff>118295</xdr:rowOff>
    </xdr:from>
    <xdr:to>
      <xdr:col>0</xdr:col>
      <xdr:colOff>2460091</xdr:colOff>
      <xdr:row>19</xdr:row>
      <xdr:rowOff>225319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091" y="13297431"/>
          <a:ext cx="432000" cy="869024"/>
        </a:xfrm>
        <a:prstGeom prst="rect">
          <a:avLst/>
        </a:prstGeom>
      </xdr:spPr>
    </xdr:pic>
    <xdr:clientData/>
  </xdr:twoCellAnchor>
  <xdr:twoCellAnchor editAs="oneCell">
    <xdr:from>
      <xdr:col>0</xdr:col>
      <xdr:colOff>1040823</xdr:colOff>
      <xdr:row>17</xdr:row>
      <xdr:rowOff>448006</xdr:rowOff>
    </xdr:from>
    <xdr:to>
      <xdr:col>0</xdr:col>
      <xdr:colOff>1472823</xdr:colOff>
      <xdr:row>18</xdr:row>
      <xdr:rowOff>555031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23" y="12865142"/>
          <a:ext cx="432000" cy="869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102575</xdr:colOff>
      <xdr:row>18</xdr:row>
      <xdr:rowOff>181174</xdr:rowOff>
    </xdr:from>
    <xdr:to>
      <xdr:col>0</xdr:col>
      <xdr:colOff>2442575</xdr:colOff>
      <xdr:row>19</xdr:row>
      <xdr:rowOff>816895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75" y="13360310"/>
          <a:ext cx="2340000" cy="1397721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329047</xdr:colOff>
      <xdr:row>42</xdr:row>
      <xdr:rowOff>51954</xdr:rowOff>
    </xdr:from>
    <xdr:to>
      <xdr:col>0</xdr:col>
      <xdr:colOff>1996174</xdr:colOff>
      <xdr:row>42</xdr:row>
      <xdr:rowOff>591954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7" y="25423090"/>
          <a:ext cx="1667127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952501</xdr:colOff>
      <xdr:row>43</xdr:row>
      <xdr:rowOff>51954</xdr:rowOff>
    </xdr:from>
    <xdr:to>
      <xdr:col>0</xdr:col>
      <xdr:colOff>1263541</xdr:colOff>
      <xdr:row>43</xdr:row>
      <xdr:rowOff>591954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5786772"/>
          <a:ext cx="31104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1281548</xdr:colOff>
      <xdr:row>23</xdr:row>
      <xdr:rowOff>51954</xdr:rowOff>
    </xdr:from>
    <xdr:to>
      <xdr:col>0</xdr:col>
      <xdr:colOff>2433548</xdr:colOff>
      <xdr:row>24</xdr:row>
      <xdr:rowOff>568601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1548" y="17439409"/>
          <a:ext cx="1152000" cy="1174737"/>
        </a:xfrm>
        <a:prstGeom prst="rect">
          <a:avLst/>
        </a:prstGeom>
      </xdr:spPr>
    </xdr:pic>
    <xdr:clientData/>
  </xdr:twoCellAnchor>
  <xdr:twoCellAnchor editAs="oneCell">
    <xdr:from>
      <xdr:col>0</xdr:col>
      <xdr:colOff>98635</xdr:colOff>
      <xdr:row>30</xdr:row>
      <xdr:rowOff>225135</xdr:rowOff>
    </xdr:from>
    <xdr:to>
      <xdr:col>0</xdr:col>
      <xdr:colOff>2438635</xdr:colOff>
      <xdr:row>30</xdr:row>
      <xdr:rowOff>731026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35" y="22427044"/>
          <a:ext cx="2340000" cy="5058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121227</xdr:colOff>
      <xdr:row>8</xdr:row>
      <xdr:rowOff>171235</xdr:rowOff>
    </xdr:from>
    <xdr:to>
      <xdr:col>0</xdr:col>
      <xdr:colOff>2281227</xdr:colOff>
      <xdr:row>8</xdr:row>
      <xdr:rowOff>848591</xdr:rowOff>
    </xdr:to>
    <xdr:sp macro="" textlink="">
      <xdr:nvSpPr>
        <xdr:cNvPr id="13" name="Прямоугольни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121227" y="30155935"/>
          <a:ext cx="2160000" cy="382081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 b="1">
              <a:latin typeface="Arial" pitchFamily="34" charset="0"/>
              <a:cs typeface="Arial" pitchFamily="34" charset="0"/>
            </a:rPr>
            <a:t>Список Ветровых Районов</a:t>
          </a:r>
        </a:p>
      </xdr:txBody>
    </xdr:sp>
    <xdr:clientData/>
  </xdr:twoCellAnchor>
  <xdr:twoCellAnchor>
    <xdr:from>
      <xdr:col>0</xdr:col>
      <xdr:colOff>121227</xdr:colOff>
      <xdr:row>6</xdr:row>
      <xdr:rowOff>207819</xdr:rowOff>
    </xdr:from>
    <xdr:to>
      <xdr:col>0</xdr:col>
      <xdr:colOff>2281227</xdr:colOff>
      <xdr:row>7</xdr:row>
      <xdr:rowOff>554736</xdr:rowOff>
    </xdr:to>
    <xdr:sp macro="" textlink="">
      <xdr:nvSpPr>
        <xdr:cNvPr id="14" name="Прямоугольник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21227" y="29087619"/>
          <a:ext cx="2160000" cy="899367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 b="1">
              <a:latin typeface="Arial" pitchFamily="34" charset="0"/>
              <a:cs typeface="Arial" pitchFamily="34" charset="0"/>
            </a:rPr>
            <a:t>Карта Ветровых Районов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920067</xdr:colOff>
      <xdr:row>1</xdr:row>
      <xdr:rowOff>110182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B418DDF-260F-E285-9230-1876A45F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997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879973</xdr:colOff>
      <xdr:row>25</xdr:row>
      <xdr:rowOff>47625</xdr:rowOff>
    </xdr:from>
    <xdr:to>
      <xdr:col>0</xdr:col>
      <xdr:colOff>1470523</xdr:colOff>
      <xdr:row>26</xdr:row>
      <xdr:rowOff>371474</xdr:rowOff>
    </xdr:to>
    <xdr:pic>
      <xdr:nvPicPr>
        <xdr:cNvPr id="154697" name="Рисунок 1">
          <a:extLst>
            <a:ext uri="{FF2B5EF4-FFF2-40B4-BE49-F238E27FC236}">
              <a16:creationId xmlns:a16="http://schemas.microsoft.com/office/drawing/2014/main" id="{00000000-0008-0000-0800-0000495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73" y="11806670"/>
          <a:ext cx="590550" cy="6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15</xdr:row>
      <xdr:rowOff>0</xdr:rowOff>
    </xdr:from>
    <xdr:to>
      <xdr:col>0</xdr:col>
      <xdr:colOff>1914525</xdr:colOff>
      <xdr:row>23</xdr:row>
      <xdr:rowOff>66675</xdr:rowOff>
    </xdr:to>
    <xdr:grpSp>
      <xdr:nvGrpSpPr>
        <xdr:cNvPr id="154698" name="Группа 1">
          <a:extLst>
            <a:ext uri="{FF2B5EF4-FFF2-40B4-BE49-F238E27FC236}">
              <a16:creationId xmlns:a16="http://schemas.microsoft.com/office/drawing/2014/main" id="{00000000-0008-0000-0800-00004A5C0200}"/>
            </a:ext>
          </a:extLst>
        </xdr:cNvPr>
        <xdr:cNvGrpSpPr>
          <a:grpSpLocks noChangeAspect="1"/>
        </xdr:cNvGrpSpPr>
      </xdr:nvGrpSpPr>
      <xdr:grpSpPr bwMode="auto">
        <a:xfrm>
          <a:off x="295275" y="7810500"/>
          <a:ext cx="1619250" cy="2750993"/>
          <a:chOff x="965264" y="6889713"/>
          <a:chExt cx="1481571" cy="1980001"/>
        </a:xfrm>
      </xdr:grpSpPr>
      <xdr:pic>
        <xdr:nvPicPr>
          <xdr:cNvPr id="154707" name="Рисунок 30" descr="столб 51 RAL6005.JPG">
            <a:extLst>
              <a:ext uri="{FF2B5EF4-FFF2-40B4-BE49-F238E27FC236}">
                <a16:creationId xmlns:a16="http://schemas.microsoft.com/office/drawing/2014/main" id="{00000000-0008-0000-0800-0000535C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531"/>
          <a:stretch>
            <a:fillRect/>
          </a:stretch>
        </xdr:blipFill>
        <xdr:spPr bwMode="auto">
          <a:xfrm rot="-5400000">
            <a:off x="276682" y="7578295"/>
            <a:ext cx="1980000" cy="6028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4708" name="Picture 140" descr="Рисунок32">
            <a:extLst>
              <a:ext uri="{FF2B5EF4-FFF2-40B4-BE49-F238E27FC236}">
                <a16:creationId xmlns:a16="http://schemas.microsoft.com/office/drawing/2014/main" id="{00000000-0008-0000-0800-0000545C02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1720360" y="6889714"/>
            <a:ext cx="726475" cy="198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69273</xdr:colOff>
      <xdr:row>4</xdr:row>
      <xdr:rowOff>69270</xdr:rowOff>
    </xdr:from>
    <xdr:to>
      <xdr:col>0</xdr:col>
      <xdr:colOff>2229273</xdr:colOff>
      <xdr:row>10</xdr:row>
      <xdr:rowOff>139972</xdr:rowOff>
    </xdr:to>
    <xdr:pic>
      <xdr:nvPicPr>
        <xdr:cNvPr id="154699" name="Рисунок 9">
          <a:extLst>
            <a:ext uri="{FF2B5EF4-FFF2-40B4-BE49-F238E27FC236}">
              <a16:creationId xmlns:a16="http://schemas.microsoft.com/office/drawing/2014/main" id="{00000000-0008-0000-0800-00004B5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2788225"/>
          <a:ext cx="2160000" cy="308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908548</xdr:colOff>
      <xdr:row>27</xdr:row>
      <xdr:rowOff>66675</xdr:rowOff>
    </xdr:from>
    <xdr:to>
      <xdr:col>0</xdr:col>
      <xdr:colOff>1441948</xdr:colOff>
      <xdr:row>27</xdr:row>
      <xdr:rowOff>685800</xdr:rowOff>
    </xdr:to>
    <xdr:pic>
      <xdr:nvPicPr>
        <xdr:cNvPr id="154702" name="Рисунок 4">
          <a:extLst>
            <a:ext uri="{FF2B5EF4-FFF2-40B4-BE49-F238E27FC236}">
              <a16:creationId xmlns:a16="http://schemas.microsoft.com/office/drawing/2014/main" id="{00000000-0008-0000-0800-00004E5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548" y="12570402"/>
          <a:ext cx="533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598986</xdr:colOff>
      <xdr:row>28</xdr:row>
      <xdr:rowOff>85725</xdr:rowOff>
    </xdr:from>
    <xdr:to>
      <xdr:col>0</xdr:col>
      <xdr:colOff>1751511</xdr:colOff>
      <xdr:row>29</xdr:row>
      <xdr:rowOff>390525</xdr:rowOff>
    </xdr:to>
    <xdr:pic>
      <xdr:nvPicPr>
        <xdr:cNvPr id="154703" name="Рисунок 8">
          <a:extLst>
            <a:ext uri="{FF2B5EF4-FFF2-40B4-BE49-F238E27FC236}">
              <a16:creationId xmlns:a16="http://schemas.microsoft.com/office/drawing/2014/main" id="{00000000-0008-0000-0800-00004F5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86" y="13334134"/>
          <a:ext cx="1152525" cy="61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335096</xdr:colOff>
      <xdr:row>46</xdr:row>
      <xdr:rowOff>189283</xdr:rowOff>
    </xdr:from>
    <xdr:to>
      <xdr:col>0</xdr:col>
      <xdr:colOff>1956955</xdr:colOff>
      <xdr:row>49</xdr:row>
      <xdr:rowOff>437145</xdr:rowOff>
    </xdr:to>
    <xdr:pic>
      <xdr:nvPicPr>
        <xdr:cNvPr id="154704" name="Picture 188">
          <a:extLst>
            <a:ext uri="{FF2B5EF4-FFF2-40B4-BE49-F238E27FC236}">
              <a16:creationId xmlns:a16="http://schemas.microsoft.com/office/drawing/2014/main" id="{00000000-0008-0000-0800-0000505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1" t="14218" r="5602" b="11365"/>
        <a:stretch>
          <a:fillRect/>
        </a:stretch>
      </xdr:blipFill>
      <xdr:spPr bwMode="auto">
        <a:xfrm>
          <a:off x="335096" y="20780601"/>
          <a:ext cx="1621859" cy="211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857251</xdr:colOff>
      <xdr:row>50</xdr:row>
      <xdr:rowOff>82261</xdr:rowOff>
    </xdr:from>
    <xdr:to>
      <xdr:col>0</xdr:col>
      <xdr:colOff>1245376</xdr:colOff>
      <xdr:row>50</xdr:row>
      <xdr:rowOff>622261</xdr:rowOff>
    </xdr:to>
    <xdr:pic>
      <xdr:nvPicPr>
        <xdr:cNvPr id="154705" name="Рисунок 18" descr="крепление рулонной сетки на 51й столб_00.jpg">
          <a:extLst>
            <a:ext uri="{FF2B5EF4-FFF2-40B4-BE49-F238E27FC236}">
              <a16:creationId xmlns:a16="http://schemas.microsoft.com/office/drawing/2014/main" id="{00000000-0008-0000-0800-0000515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15270306"/>
          <a:ext cx="388125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675186</xdr:colOff>
      <xdr:row>30</xdr:row>
      <xdr:rowOff>66675</xdr:rowOff>
    </xdr:from>
    <xdr:to>
      <xdr:col>0</xdr:col>
      <xdr:colOff>1675311</xdr:colOff>
      <xdr:row>30</xdr:row>
      <xdr:rowOff>714375</xdr:rowOff>
    </xdr:to>
    <xdr:pic>
      <xdr:nvPicPr>
        <xdr:cNvPr id="154706" name="Рисунок 5">
          <a:extLst>
            <a:ext uri="{FF2B5EF4-FFF2-40B4-BE49-F238E27FC236}">
              <a16:creationId xmlns:a16="http://schemas.microsoft.com/office/drawing/2014/main" id="{00000000-0008-0000-0800-0000525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186" y="14059766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819919</xdr:colOff>
      <xdr:row>39</xdr:row>
      <xdr:rowOff>121227</xdr:rowOff>
    </xdr:from>
    <xdr:to>
      <xdr:col>0</xdr:col>
      <xdr:colOff>1589734</xdr:colOff>
      <xdr:row>41</xdr:row>
      <xdr:rowOff>376772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9" y="17958954"/>
          <a:ext cx="769815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36</xdr:row>
      <xdr:rowOff>363682</xdr:rowOff>
    </xdr:from>
    <xdr:to>
      <xdr:col>0</xdr:col>
      <xdr:colOff>2323061</xdr:colOff>
      <xdr:row>38</xdr:row>
      <xdr:rowOff>295228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16331046"/>
          <a:ext cx="2236470" cy="93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155863</xdr:colOff>
      <xdr:row>24</xdr:row>
      <xdr:rowOff>86590</xdr:rowOff>
    </xdr:from>
    <xdr:to>
      <xdr:col>0</xdr:col>
      <xdr:colOff>2194634</xdr:colOff>
      <xdr:row>24</xdr:row>
      <xdr:rowOff>698590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863" y="11083635"/>
          <a:ext cx="203877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815731</xdr:colOff>
      <xdr:row>31</xdr:row>
      <xdr:rowOff>51955</xdr:rowOff>
    </xdr:from>
    <xdr:to>
      <xdr:col>0</xdr:col>
      <xdr:colOff>1534766</xdr:colOff>
      <xdr:row>31</xdr:row>
      <xdr:rowOff>699955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44F817B-0B7B-A3E3-86AD-83058466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5731" y="14807046"/>
          <a:ext cx="719035" cy="64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563997</xdr:colOff>
      <xdr:row>28</xdr:row>
      <xdr:rowOff>57150</xdr:rowOff>
    </xdr:from>
    <xdr:to>
      <xdr:col>0</xdr:col>
      <xdr:colOff>1773672</xdr:colOff>
      <xdr:row>28</xdr:row>
      <xdr:rowOff>561975</xdr:rowOff>
    </xdr:to>
    <xdr:pic>
      <xdr:nvPicPr>
        <xdr:cNvPr id="2" name="Рисунок 11" descr="Крепление временного ограждения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997" y="23507700"/>
          <a:ext cx="1209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636717</xdr:colOff>
      <xdr:row>17</xdr:row>
      <xdr:rowOff>95250</xdr:rowOff>
    </xdr:from>
    <xdr:to>
      <xdr:col>0</xdr:col>
      <xdr:colOff>1903542</xdr:colOff>
      <xdr:row>18</xdr:row>
      <xdr:rowOff>514350</xdr:rowOff>
    </xdr:to>
    <xdr:pic>
      <xdr:nvPicPr>
        <xdr:cNvPr id="3" name="Рисунок 20" descr="ВрО1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717" y="8269432"/>
          <a:ext cx="1266825" cy="104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625909</xdr:colOff>
      <xdr:row>19</xdr:row>
      <xdr:rowOff>272764</xdr:rowOff>
    </xdr:from>
    <xdr:to>
      <xdr:col>0</xdr:col>
      <xdr:colOff>1573214</xdr:colOff>
      <xdr:row>20</xdr:row>
      <xdr:rowOff>359789</xdr:rowOff>
    </xdr:to>
    <xdr:pic>
      <xdr:nvPicPr>
        <xdr:cNvPr id="7" name="Рисунок 5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909" y="9693855"/>
          <a:ext cx="947305" cy="71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690128</xdr:colOff>
      <xdr:row>21</xdr:row>
      <xdr:rowOff>69273</xdr:rowOff>
    </xdr:from>
    <xdr:to>
      <xdr:col>0</xdr:col>
      <xdr:colOff>1647541</xdr:colOff>
      <xdr:row>21</xdr:row>
      <xdr:rowOff>609273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90128" y="19976523"/>
          <a:ext cx="957413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1187162</xdr:colOff>
      <xdr:row>29</xdr:row>
      <xdr:rowOff>103909</xdr:rowOff>
    </xdr:from>
    <xdr:to>
      <xdr:col>1</xdr:col>
      <xdr:colOff>69388</xdr:colOff>
      <xdr:row>29</xdr:row>
      <xdr:rowOff>1183909</xdr:rowOff>
    </xdr:to>
    <xdr:pic>
      <xdr:nvPicPr>
        <xdr:cNvPr id="10" name="Рисунок 1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162" y="24183109"/>
          <a:ext cx="141587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155862</xdr:colOff>
      <xdr:row>15</xdr:row>
      <xdr:rowOff>173181</xdr:rowOff>
    </xdr:from>
    <xdr:to>
      <xdr:col>0</xdr:col>
      <xdr:colOff>2384396</xdr:colOff>
      <xdr:row>16</xdr:row>
      <xdr:rowOff>599181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62" y="6823363"/>
          <a:ext cx="2228534" cy="1188000"/>
        </a:xfrm>
        <a:prstGeom prst="rect">
          <a:avLst/>
        </a:prstGeom>
      </xdr:spPr>
    </xdr:pic>
    <xdr:clientData/>
  </xdr:twoCellAnchor>
  <xdr:oneCellAnchor>
    <xdr:from>
      <xdr:col>6</xdr:col>
      <xdr:colOff>71281</xdr:colOff>
      <xdr:row>13</xdr:row>
      <xdr:rowOff>80899</xdr:rowOff>
    </xdr:from>
    <xdr:ext cx="1056409" cy="32904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/>
      </xdr:nvSpPr>
      <xdr:spPr>
        <a:xfrm>
          <a:off x="8539872" y="4860717"/>
          <a:ext cx="1056409" cy="329046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US" sz="1400" b="0">
              <a:solidFill>
                <a:schemeClr val="bg1">
                  <a:lumMod val="95000"/>
                </a:schemeClr>
              </a:solidFill>
              <a:latin typeface="Red Ring" panose="020B0504020202020204" pitchFamily="34" charset="0"/>
            </a:rPr>
            <a:t>NEW</a:t>
          </a:r>
          <a:endParaRPr lang="ru-RU" sz="1400" b="0">
            <a:solidFill>
              <a:schemeClr val="bg1">
                <a:lumMod val="95000"/>
              </a:schemeClr>
            </a:solidFill>
            <a:latin typeface="Red Ring" panose="020B0504020202020204" pitchFamily="34" charset="0"/>
          </a:endParaRPr>
        </a:p>
      </xdr:txBody>
    </xdr:sp>
    <xdr:clientData/>
  </xdr:oneCellAnchor>
  <xdr:twoCellAnchor editAs="oneCell">
    <xdr:from>
      <xdr:col>0</xdr:col>
      <xdr:colOff>138547</xdr:colOff>
      <xdr:row>25</xdr:row>
      <xdr:rowOff>60613</xdr:rowOff>
    </xdr:from>
    <xdr:to>
      <xdr:col>0</xdr:col>
      <xdr:colOff>1192096</xdr:colOff>
      <xdr:row>26</xdr:row>
      <xdr:rowOff>277022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47" y="21987163"/>
          <a:ext cx="1053549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519546</xdr:colOff>
      <xdr:row>27</xdr:row>
      <xdr:rowOff>51954</xdr:rowOff>
    </xdr:from>
    <xdr:to>
      <xdr:col>0</xdr:col>
      <xdr:colOff>1573094</xdr:colOff>
      <xdr:row>27</xdr:row>
      <xdr:rowOff>735954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546" y="22740504"/>
          <a:ext cx="1053548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1316182</xdr:colOff>
      <xdr:row>25</xdr:row>
      <xdr:rowOff>60613</xdr:rowOff>
    </xdr:from>
    <xdr:to>
      <xdr:col>0</xdr:col>
      <xdr:colOff>2369730</xdr:colOff>
      <xdr:row>26</xdr:row>
      <xdr:rowOff>277022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182" y="21987163"/>
          <a:ext cx="1053548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559129</xdr:colOff>
      <xdr:row>3</xdr:row>
      <xdr:rowOff>225138</xdr:rowOff>
    </xdr:from>
    <xdr:to>
      <xdr:col>0</xdr:col>
      <xdr:colOff>1981129</xdr:colOff>
      <xdr:row>5</xdr:row>
      <xdr:rowOff>356010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129" y="2234047"/>
          <a:ext cx="1422000" cy="1066054"/>
        </a:xfrm>
        <a:prstGeom prst="rect">
          <a:avLst/>
        </a:prstGeom>
      </xdr:spPr>
    </xdr:pic>
    <xdr:clientData/>
  </xdr:twoCellAnchor>
  <xdr:twoCellAnchor editAs="oneCell">
    <xdr:from>
      <xdr:col>0</xdr:col>
      <xdr:colOff>370129</xdr:colOff>
      <xdr:row>6</xdr:row>
      <xdr:rowOff>103914</xdr:rowOff>
    </xdr:from>
    <xdr:to>
      <xdr:col>0</xdr:col>
      <xdr:colOff>2170129</xdr:colOff>
      <xdr:row>8</xdr:row>
      <xdr:rowOff>502229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29" y="3671459"/>
          <a:ext cx="1800000" cy="1333497"/>
        </a:xfrm>
        <a:prstGeom prst="rect">
          <a:avLst/>
        </a:prstGeom>
      </xdr:spPr>
    </xdr:pic>
    <xdr:clientData/>
  </xdr:twoCellAnchor>
  <xdr:twoCellAnchor editAs="oneCell">
    <xdr:from>
      <xdr:col>1</xdr:col>
      <xdr:colOff>329043</xdr:colOff>
      <xdr:row>31</xdr:row>
      <xdr:rowOff>138547</xdr:rowOff>
    </xdr:from>
    <xdr:to>
      <xdr:col>2</xdr:col>
      <xdr:colOff>849820</xdr:colOff>
      <xdr:row>31</xdr:row>
      <xdr:rowOff>1290547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498" y="16348365"/>
          <a:ext cx="1577186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669544</xdr:colOff>
      <xdr:row>30</xdr:row>
      <xdr:rowOff>80729</xdr:rowOff>
    </xdr:from>
    <xdr:to>
      <xdr:col>2</xdr:col>
      <xdr:colOff>562156</xdr:colOff>
      <xdr:row>30</xdr:row>
      <xdr:rowOff>1196729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7999" y="15026320"/>
          <a:ext cx="949021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213409</xdr:colOff>
      <xdr:row>31</xdr:row>
      <xdr:rowOff>230728</xdr:rowOff>
    </xdr:from>
    <xdr:to>
      <xdr:col>0</xdr:col>
      <xdr:colOff>1208775</xdr:colOff>
      <xdr:row>31</xdr:row>
      <xdr:rowOff>1310728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09" y="16440546"/>
          <a:ext cx="99536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1233646</xdr:colOff>
      <xdr:row>31</xdr:row>
      <xdr:rowOff>100174</xdr:rowOff>
    </xdr:from>
    <xdr:to>
      <xdr:col>1</xdr:col>
      <xdr:colOff>23462</xdr:colOff>
      <xdr:row>31</xdr:row>
      <xdr:rowOff>394855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3646" y="16309992"/>
          <a:ext cx="1318271" cy="294681"/>
        </a:xfrm>
        <a:prstGeom prst="rect">
          <a:avLst/>
        </a:prstGeom>
      </xdr:spPr>
    </xdr:pic>
    <xdr:clientData/>
  </xdr:twoCellAnchor>
  <xdr:twoCellAnchor editAs="oneCell">
    <xdr:from>
      <xdr:col>0</xdr:col>
      <xdr:colOff>213409</xdr:colOff>
      <xdr:row>30</xdr:row>
      <xdr:rowOff>92182</xdr:rowOff>
    </xdr:from>
    <xdr:to>
      <xdr:col>0</xdr:col>
      <xdr:colOff>1208775</xdr:colOff>
      <xdr:row>30</xdr:row>
      <xdr:rowOff>1172182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09" y="15037773"/>
          <a:ext cx="99536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1250964</xdr:colOff>
      <xdr:row>30</xdr:row>
      <xdr:rowOff>48218</xdr:rowOff>
    </xdr:from>
    <xdr:to>
      <xdr:col>1</xdr:col>
      <xdr:colOff>40780</xdr:colOff>
      <xdr:row>30</xdr:row>
      <xdr:rowOff>342899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964" y="14993809"/>
          <a:ext cx="1318271" cy="294681"/>
        </a:xfrm>
        <a:prstGeom prst="rect">
          <a:avLst/>
        </a:prstGeom>
      </xdr:spPr>
    </xdr:pic>
    <xdr:clientData/>
  </xdr:twoCellAnchor>
  <xdr:twoCellAnchor editAs="oneCell">
    <xdr:from>
      <xdr:col>0</xdr:col>
      <xdr:colOff>379373</xdr:colOff>
      <xdr:row>13</xdr:row>
      <xdr:rowOff>173182</xdr:rowOff>
    </xdr:from>
    <xdr:to>
      <xdr:col>0</xdr:col>
      <xdr:colOff>2160885</xdr:colOff>
      <xdr:row>14</xdr:row>
      <xdr:rowOff>671182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263FCF7-C2A8-459D-A213-61C2E5F58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373" y="5299364"/>
          <a:ext cx="1781512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229465</xdr:colOff>
      <xdr:row>39</xdr:row>
      <xdr:rowOff>188338</xdr:rowOff>
    </xdr:from>
    <xdr:to>
      <xdr:col>6</xdr:col>
      <xdr:colOff>173181</xdr:colOff>
      <xdr:row>47</xdr:row>
      <xdr:rowOff>45296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ECDC8A0-A799-4730-A430-F022E8BA6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65" y="22705438"/>
          <a:ext cx="8382866" cy="5952958"/>
        </a:xfrm>
        <a:prstGeom prst="rect">
          <a:avLst/>
        </a:prstGeom>
      </xdr:spPr>
    </xdr:pic>
    <xdr:clientData/>
  </xdr:twoCellAnchor>
  <xdr:twoCellAnchor editAs="oneCell">
    <xdr:from>
      <xdr:col>6</xdr:col>
      <xdr:colOff>912001</xdr:colOff>
      <xdr:row>39</xdr:row>
      <xdr:rowOff>188338</xdr:rowOff>
    </xdr:from>
    <xdr:to>
      <xdr:col>9</xdr:col>
      <xdr:colOff>1111228</xdr:colOff>
      <xdr:row>42</xdr:row>
      <xdr:rowOff>471243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52BCBCE-DC8A-447A-BE3D-BB47763B1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1151" y="22705438"/>
          <a:ext cx="3875877" cy="2568905"/>
        </a:xfrm>
        <a:prstGeom prst="rect">
          <a:avLst/>
        </a:prstGeom>
        <a:ln w="19050">
          <a:solidFill>
            <a:srgbClr val="C00000"/>
          </a:solidFill>
        </a:ln>
      </xdr:spPr>
    </xdr:pic>
    <xdr:clientData/>
  </xdr:twoCellAnchor>
  <xdr:twoCellAnchor editAs="oneCell">
    <xdr:from>
      <xdr:col>6</xdr:col>
      <xdr:colOff>912001</xdr:colOff>
      <xdr:row>42</xdr:row>
      <xdr:rowOff>692730</xdr:rowOff>
    </xdr:from>
    <xdr:to>
      <xdr:col>9</xdr:col>
      <xdr:colOff>1111228</xdr:colOff>
      <xdr:row>46</xdr:row>
      <xdr:rowOff>510354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F012A37-752A-4383-9D6D-831F68F2C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51151" y="25495830"/>
          <a:ext cx="3875877" cy="2865624"/>
        </a:xfrm>
        <a:prstGeom prst="rect">
          <a:avLst/>
        </a:prstGeom>
        <a:ln w="19050">
          <a:solidFill>
            <a:srgbClr val="C00000"/>
          </a:solidFill>
        </a:ln>
      </xdr:spPr>
    </xdr:pic>
    <xdr:clientData/>
  </xdr:twoCellAnchor>
  <xdr:twoCellAnchor>
    <xdr:from>
      <xdr:col>5</xdr:col>
      <xdr:colOff>225136</xdr:colOff>
      <xdr:row>39</xdr:row>
      <xdr:rowOff>744684</xdr:rowOff>
    </xdr:from>
    <xdr:to>
      <xdr:col>6</xdr:col>
      <xdr:colOff>248727</xdr:colOff>
      <xdr:row>41</xdr:row>
      <xdr:rowOff>300684</xdr:rowOff>
    </xdr:to>
    <xdr:sp macro="" textlink="">
      <xdr:nvSpPr>
        <xdr:cNvPr id="19" name="Овал 18">
          <a:extLst>
            <a:ext uri="{FF2B5EF4-FFF2-40B4-BE49-F238E27FC236}">
              <a16:creationId xmlns:a16="http://schemas.microsoft.com/office/drawing/2014/main" id="{8DBADF32-B864-479A-8B10-164C7AD649F2}"/>
            </a:ext>
          </a:extLst>
        </xdr:cNvPr>
        <xdr:cNvSpPr/>
      </xdr:nvSpPr>
      <xdr:spPr>
        <a:xfrm>
          <a:off x="7616536" y="23261784"/>
          <a:ext cx="1071341" cy="108000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865909</xdr:colOff>
      <xdr:row>44</xdr:row>
      <xdr:rowOff>381002</xdr:rowOff>
    </xdr:from>
    <xdr:to>
      <xdr:col>6</xdr:col>
      <xdr:colOff>553091</xdr:colOff>
      <xdr:row>46</xdr:row>
      <xdr:rowOff>657002</xdr:rowOff>
    </xdr:to>
    <xdr:sp macro="" textlink="">
      <xdr:nvSpPr>
        <xdr:cNvPr id="21" name="Овал 20">
          <a:extLst>
            <a:ext uri="{FF2B5EF4-FFF2-40B4-BE49-F238E27FC236}">
              <a16:creationId xmlns:a16="http://schemas.microsoft.com/office/drawing/2014/main" id="{66B652B5-BE77-4DB6-86C5-A7AE6905C784}"/>
            </a:ext>
          </a:extLst>
        </xdr:cNvPr>
        <xdr:cNvSpPr/>
      </xdr:nvSpPr>
      <xdr:spPr>
        <a:xfrm>
          <a:off x="7209559" y="26708102"/>
          <a:ext cx="1782682" cy="180000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765136</xdr:colOff>
      <xdr:row>39</xdr:row>
      <xdr:rowOff>190502</xdr:rowOff>
    </xdr:from>
    <xdr:to>
      <xdr:col>6</xdr:col>
      <xdr:colOff>900545</xdr:colOff>
      <xdr:row>39</xdr:row>
      <xdr:rowOff>744684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:a16="http://schemas.microsoft.com/office/drawing/2014/main" id="{E8F45C57-DFD9-4A33-8AF3-539AA6EF5681}"/>
            </a:ext>
          </a:extLst>
        </xdr:cNvPr>
        <xdr:cNvCxnSpPr>
          <a:stCxn id="19" idx="0"/>
        </xdr:cNvCxnSpPr>
      </xdr:nvCxnSpPr>
      <xdr:spPr>
        <a:xfrm flipV="1">
          <a:off x="8156536" y="22707602"/>
          <a:ext cx="1183159" cy="554182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709500</xdr:colOff>
      <xdr:row>42</xdr:row>
      <xdr:rowOff>675411</xdr:rowOff>
    </xdr:from>
    <xdr:to>
      <xdr:col>6</xdr:col>
      <xdr:colOff>917864</xdr:colOff>
      <xdr:row>44</xdr:row>
      <xdr:rowOff>381002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:a16="http://schemas.microsoft.com/office/drawing/2014/main" id="{74D983B9-75FA-4924-BA98-533696F2F9AC}"/>
            </a:ext>
          </a:extLst>
        </xdr:cNvPr>
        <xdr:cNvCxnSpPr>
          <a:stCxn id="21" idx="0"/>
        </xdr:cNvCxnSpPr>
      </xdr:nvCxnSpPr>
      <xdr:spPr>
        <a:xfrm flipV="1">
          <a:off x="8100900" y="25478511"/>
          <a:ext cx="1256114" cy="122959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709500</xdr:colOff>
      <xdr:row>46</xdr:row>
      <xdr:rowOff>519548</xdr:rowOff>
    </xdr:from>
    <xdr:to>
      <xdr:col>6</xdr:col>
      <xdr:colOff>900545</xdr:colOff>
      <xdr:row>46</xdr:row>
      <xdr:rowOff>657002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:a16="http://schemas.microsoft.com/office/drawing/2014/main" id="{4D99EBF6-47A1-4E69-9386-12943D5918D7}"/>
            </a:ext>
          </a:extLst>
        </xdr:cNvPr>
        <xdr:cNvCxnSpPr>
          <a:stCxn id="21" idx="4"/>
        </xdr:cNvCxnSpPr>
      </xdr:nvCxnSpPr>
      <xdr:spPr>
        <a:xfrm flipV="1">
          <a:off x="8100900" y="28370648"/>
          <a:ext cx="1238795" cy="13745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765136</xdr:colOff>
      <xdr:row>41</xdr:row>
      <xdr:rowOff>300684</xdr:rowOff>
    </xdr:from>
    <xdr:to>
      <xdr:col>6</xdr:col>
      <xdr:colOff>900545</xdr:colOff>
      <xdr:row>42</xdr:row>
      <xdr:rowOff>467593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:a16="http://schemas.microsoft.com/office/drawing/2014/main" id="{FAA910B0-1D77-4B12-B339-9BE1D3B48BFD}"/>
            </a:ext>
          </a:extLst>
        </xdr:cNvPr>
        <xdr:cNvCxnSpPr>
          <a:stCxn id="19" idx="4"/>
        </xdr:cNvCxnSpPr>
      </xdr:nvCxnSpPr>
      <xdr:spPr>
        <a:xfrm>
          <a:off x="8156536" y="24341784"/>
          <a:ext cx="1183159" cy="92890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CFC433-C1B9-4641-84E7-AA63446281A5}" name="ламель125" displayName="ламель125" ref="Z70:Z71" totalsRowShown="0" headerRowDxfId="17">
  <autoFilter ref="Z70:Z71" xr:uid="{D138230E-58B0-4926-8EA9-C74A8F24FCFE}"/>
  <tableColumns count="1">
    <tableColumn id="1" xr3:uid="{0904AC24-3C52-492A-B0C7-691C622F5330}" name="ламель 1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74D11F-32D2-4522-9487-146210F9E446}" name="ламель150" displayName="ламель150" ref="AA70:AA72" totalsRowShown="0" headerRowDxfId="16">
  <autoFilter ref="AA70:AA72" xr:uid="{BEAA8299-5559-44F9-AA35-72AE4C54B75F}"/>
  <tableColumns count="1">
    <tableColumn id="1" xr3:uid="{F761BAA8-40F0-4D3F-AD5F-8DD498DB3AC3}" name="ламель 1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FEDD16-E6AE-4CB1-B751-922419DBE2DC}" name="ламель50" displayName="ламель50" ref="AB70:AB72" totalsRowShown="0">
  <autoFilter ref="AB70:AB72" xr:uid="{83A91923-C861-4A30-ABEA-98086D00AB40}"/>
  <tableColumns count="1">
    <tableColumn id="1" xr3:uid="{4BE09DDB-76EA-453C-9C8C-689ABEF0F7DF}" name="Ламель 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B4D6FA9-9BBF-4A65-BCEB-E33C55CE8414}" name="ламель200" displayName="ламель200" ref="AC70:AC72" totalsRowShown="0">
  <autoFilter ref="AC70:AC72" xr:uid="{23D8B1D4-FDCF-4079-8330-6EAB35C5DFBC}"/>
  <tableColumns count="1">
    <tableColumn id="1" xr3:uid="{282F41E4-58C9-4D06-BE2D-D7B9810BEAB7}" name="Ламель 20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6C27DA-F800-4CA3-9C09-29540205646F}" name="ламель100" displayName="ламель100" ref="Y70:Y71" totalsRowShown="0">
  <autoFilter ref="Y70:Y71" xr:uid="{6F9C2581-C108-4D94-93E9-0F89673C1057}"/>
  <tableColumns count="1">
    <tableColumn id="1" xr3:uid="{A3C1DD5B-2039-4E7C-8D6A-ED7B2C8D8CE0}" name="ламель 10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25.emf"/><Relationship Id="rId4" Type="http://schemas.openxmlformats.org/officeDocument/2006/relationships/oleObject" Target="../embeddings/oleObject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22"/>
  <sheetViews>
    <sheetView showGridLines="0" tabSelected="1" zoomScale="55" zoomScaleNormal="55" zoomScaleSheetLayoutView="55" zoomScalePageLayoutView="30" workbookViewId="0">
      <selection activeCell="F2" sqref="F2"/>
    </sheetView>
  </sheetViews>
  <sheetFormatPr defaultRowHeight="23.25" x14ac:dyDescent="0.35"/>
  <cols>
    <col min="1" max="1" width="20.7109375" style="1" customWidth="1"/>
    <col min="2" max="2" width="55.7109375" style="1" customWidth="1"/>
    <col min="3" max="3" width="65.7109375" style="1" customWidth="1"/>
    <col min="4" max="5" width="50.7109375" style="1" customWidth="1"/>
    <col min="6" max="6" width="30.7109375" style="1" customWidth="1"/>
    <col min="7" max="7" width="11.5703125" style="79" hidden="1" customWidth="1"/>
    <col min="8" max="8" width="16.140625" style="1" customWidth="1"/>
    <col min="9" max="9" width="11.5703125" style="1" customWidth="1"/>
    <col min="10" max="10" width="11.5703125" style="1" bestFit="1" customWidth="1"/>
    <col min="11" max="11" width="13.42578125" style="1" bestFit="1" customWidth="1"/>
    <col min="12" max="15" width="9.140625" style="1"/>
    <col min="16" max="16" width="13.5703125" style="1" customWidth="1"/>
    <col min="17" max="16384" width="9.140625" style="1"/>
  </cols>
  <sheetData>
    <row r="1" spans="1:16" ht="75.75" customHeight="1" x14ac:dyDescent="0.4">
      <c r="D1" s="89"/>
      <c r="E1" s="1310" t="s">
        <v>507</v>
      </c>
      <c r="F1" s="1311"/>
      <c r="G1" s="80"/>
      <c r="H1" s="19"/>
      <c r="I1" s="19"/>
      <c r="J1" s="19"/>
      <c r="K1" s="19"/>
      <c r="L1" s="19"/>
      <c r="M1" s="19"/>
      <c r="N1" s="19"/>
      <c r="O1" s="19"/>
      <c r="P1" s="19"/>
    </row>
    <row r="2" spans="1:16" ht="33" customHeight="1" x14ac:dyDescent="0.3">
      <c r="C2" s="1312" t="s">
        <v>312</v>
      </c>
      <c r="D2" s="1312"/>
      <c r="E2" s="158" t="s">
        <v>132</v>
      </c>
      <c r="F2" s="348">
        <f>'Панельные ограждения GL (стр.1)'!N2</f>
        <v>46197</v>
      </c>
      <c r="G2" s="348"/>
      <c r="H2" s="20"/>
      <c r="I2" s="5"/>
      <c r="J2" s="5"/>
      <c r="K2" s="5"/>
      <c r="L2" s="5"/>
      <c r="M2" s="5"/>
      <c r="N2" s="5"/>
      <c r="O2" s="5"/>
      <c r="P2" s="5"/>
    </row>
    <row r="3" spans="1:16" ht="50.1" customHeight="1" thickBot="1" x14ac:dyDescent="0.4">
      <c r="A3" s="671" t="s">
        <v>315</v>
      </c>
      <c r="B3" s="1313" t="s">
        <v>71</v>
      </c>
      <c r="C3" s="1314"/>
      <c r="D3" s="1313" t="s">
        <v>313</v>
      </c>
      <c r="E3" s="1314"/>
      <c r="F3" s="672" t="s">
        <v>522</v>
      </c>
      <c r="G3" s="230" t="s">
        <v>10</v>
      </c>
      <c r="H3" s="5"/>
      <c r="I3" s="5"/>
      <c r="J3" s="5"/>
      <c r="K3" s="5"/>
      <c r="L3" s="5"/>
      <c r="M3" s="5"/>
      <c r="N3" s="5"/>
      <c r="O3" s="5"/>
    </row>
    <row r="4" spans="1:16" ht="125.1" customHeight="1" thickTop="1" thickBot="1" x14ac:dyDescent="0.35">
      <c r="A4" s="899" t="s">
        <v>446</v>
      </c>
      <c r="B4" s="812"/>
      <c r="C4" s="813" t="s">
        <v>504</v>
      </c>
      <c r="D4" s="1315" t="s">
        <v>489</v>
      </c>
      <c r="E4" s="1316"/>
      <c r="F4" s="814">
        <f t="shared" ref="F4:F15" si="0">ROUND(G4*BelarusV_Modpe,2)</f>
        <v>362</v>
      </c>
      <c r="G4" s="504">
        <v>362</v>
      </c>
      <c r="H4" s="5"/>
      <c r="I4" s="5"/>
      <c r="J4" s="5"/>
      <c r="K4" s="5"/>
      <c r="L4" s="5"/>
      <c r="M4" s="5"/>
      <c r="N4" s="5"/>
      <c r="O4" s="5"/>
    </row>
    <row r="5" spans="1:16" ht="150" customHeight="1" thickTop="1" x14ac:dyDescent="0.3">
      <c r="A5" s="1304" t="s">
        <v>314</v>
      </c>
      <c r="B5" s="1317"/>
      <c r="C5" s="652" t="s">
        <v>398</v>
      </c>
      <c r="D5" s="1325" t="s">
        <v>397</v>
      </c>
      <c r="E5" s="1326"/>
      <c r="F5" s="673">
        <f t="shared" si="0"/>
        <v>533</v>
      </c>
      <c r="G5" s="675">
        <v>533</v>
      </c>
      <c r="H5" s="5"/>
      <c r="I5" s="5"/>
      <c r="J5" s="5"/>
      <c r="K5" s="5"/>
      <c r="L5" s="5"/>
      <c r="M5" s="5"/>
      <c r="N5" s="5"/>
      <c r="O5" s="5"/>
    </row>
    <row r="6" spans="1:16" ht="150" customHeight="1" x14ac:dyDescent="0.3">
      <c r="A6" s="1304"/>
      <c r="B6" s="1317"/>
      <c r="C6" s="750" t="s">
        <v>557</v>
      </c>
      <c r="D6" s="1318" t="s">
        <v>560</v>
      </c>
      <c r="E6" s="1318"/>
      <c r="F6" s="70">
        <f t="shared" si="0"/>
        <v>1198</v>
      </c>
      <c r="G6" s="504">
        <v>1198</v>
      </c>
      <c r="H6" s="15"/>
      <c r="I6" s="588"/>
      <c r="J6" s="15"/>
      <c r="K6" s="5"/>
      <c r="L6" s="5"/>
      <c r="M6" s="5"/>
      <c r="N6" s="5"/>
      <c r="O6" s="5"/>
    </row>
    <row r="7" spans="1:16" ht="99.95" customHeight="1" x14ac:dyDescent="0.3">
      <c r="A7" s="1304"/>
      <c r="B7" s="1308"/>
      <c r="C7" s="551" t="s">
        <v>444</v>
      </c>
      <c r="D7" s="1321" t="s">
        <v>311</v>
      </c>
      <c r="E7" s="1322"/>
      <c r="F7" s="674">
        <f t="shared" si="0"/>
        <v>1070</v>
      </c>
      <c r="G7" s="504">
        <v>1070</v>
      </c>
      <c r="H7" s="15"/>
      <c r="I7" s="15"/>
      <c r="J7" s="15"/>
      <c r="K7" s="5"/>
      <c r="L7" s="5"/>
      <c r="M7" s="5"/>
      <c r="N7" s="5"/>
      <c r="O7" s="5"/>
    </row>
    <row r="8" spans="1:16" ht="99.95" customHeight="1" x14ac:dyDescent="0.3">
      <c r="A8" s="1304"/>
      <c r="B8" s="1309"/>
      <c r="C8" s="750" t="s">
        <v>558</v>
      </c>
      <c r="D8" s="1318" t="s">
        <v>559</v>
      </c>
      <c r="E8" s="1318"/>
      <c r="F8" s="70">
        <f t="shared" si="0"/>
        <v>1351</v>
      </c>
      <c r="G8" s="504">
        <v>1351</v>
      </c>
      <c r="H8" s="15"/>
      <c r="I8" s="588"/>
      <c r="J8" s="15"/>
      <c r="K8" s="5"/>
      <c r="L8" s="5"/>
      <c r="M8" s="5"/>
      <c r="N8" s="5"/>
      <c r="O8" s="5"/>
    </row>
    <row r="9" spans="1:16" ht="99.95" customHeight="1" x14ac:dyDescent="0.3">
      <c r="A9" s="1304"/>
      <c r="B9" s="1309"/>
      <c r="C9" s="750" t="s">
        <v>638</v>
      </c>
      <c r="D9" s="1306" t="s">
        <v>311</v>
      </c>
      <c r="E9" s="1307"/>
      <c r="F9" s="70">
        <f t="shared" si="0"/>
        <v>1636</v>
      </c>
      <c r="G9" s="504">
        <v>1636</v>
      </c>
      <c r="H9" s="15"/>
      <c r="I9" s="588"/>
      <c r="J9" s="15"/>
      <c r="K9" s="5"/>
      <c r="L9" s="5"/>
      <c r="M9" s="5"/>
      <c r="N9" s="5"/>
      <c r="O9" s="5"/>
    </row>
    <row r="10" spans="1:16" ht="99.95" customHeight="1" x14ac:dyDescent="0.3">
      <c r="A10" s="1304"/>
      <c r="B10" s="810"/>
      <c r="C10" s="750" t="s">
        <v>445</v>
      </c>
      <c r="D10" s="1323" t="s">
        <v>311</v>
      </c>
      <c r="E10" s="1324"/>
      <c r="F10" s="730">
        <f t="shared" si="0"/>
        <v>1883</v>
      </c>
      <c r="G10" s="815">
        <v>1883</v>
      </c>
      <c r="H10" s="15"/>
      <c r="I10" s="15"/>
      <c r="J10" s="15"/>
      <c r="K10" s="5"/>
      <c r="L10" s="5"/>
      <c r="M10" s="5"/>
      <c r="N10" s="5"/>
      <c r="O10" s="5"/>
    </row>
    <row r="11" spans="1:16" ht="99.95" customHeight="1" x14ac:dyDescent="0.3">
      <c r="A11" s="1304"/>
      <c r="B11" s="501"/>
      <c r="C11" s="749" t="s">
        <v>636</v>
      </c>
      <c r="D11" s="1306" t="s">
        <v>311</v>
      </c>
      <c r="E11" s="1307"/>
      <c r="F11" s="70">
        <f t="shared" si="0"/>
        <v>1545</v>
      </c>
      <c r="G11" s="504">
        <v>1545</v>
      </c>
      <c r="H11" s="15"/>
      <c r="I11" s="15"/>
      <c r="J11" s="15"/>
      <c r="K11" s="5"/>
      <c r="L11" s="5"/>
      <c r="M11" s="5"/>
      <c r="N11" s="5"/>
      <c r="O11" s="5"/>
    </row>
    <row r="12" spans="1:16" ht="99.95" customHeight="1" thickBot="1" x14ac:dyDescent="0.35">
      <c r="A12" s="1305"/>
      <c r="B12" s="809"/>
      <c r="C12" s="731" t="s">
        <v>544</v>
      </c>
      <c r="D12" s="1319" t="s">
        <v>545</v>
      </c>
      <c r="E12" s="1320"/>
      <c r="F12" s="605">
        <f t="shared" si="0"/>
        <v>2673</v>
      </c>
      <c r="G12" s="504">
        <v>2673</v>
      </c>
      <c r="H12" s="15"/>
      <c r="I12" s="588"/>
      <c r="J12" s="15"/>
      <c r="K12" s="5"/>
      <c r="L12" s="5"/>
      <c r="M12" s="5"/>
      <c r="N12" s="5"/>
      <c r="O12" s="5"/>
    </row>
    <row r="13" spans="1:16" ht="150" customHeight="1" thickTop="1" x14ac:dyDescent="0.3">
      <c r="A13" s="1304" t="s">
        <v>637</v>
      </c>
      <c r="B13" s="1327"/>
      <c r="C13" s="816" t="s">
        <v>639</v>
      </c>
      <c r="D13" s="1331" t="s">
        <v>643</v>
      </c>
      <c r="E13" s="1332"/>
      <c r="F13" s="817">
        <f t="shared" si="0"/>
        <v>12000</v>
      </c>
      <c r="G13" s="504">
        <v>12000</v>
      </c>
      <c r="H13" s="5"/>
      <c r="I13" s="5"/>
      <c r="J13" s="5"/>
      <c r="K13" s="5"/>
      <c r="L13" s="5"/>
      <c r="M13" s="5"/>
      <c r="N13" s="5"/>
      <c r="O13" s="5"/>
    </row>
    <row r="14" spans="1:16" ht="99.95" customHeight="1" x14ac:dyDescent="0.3">
      <c r="A14" s="1304"/>
      <c r="B14" s="1327"/>
      <c r="C14" s="811" t="s">
        <v>642</v>
      </c>
      <c r="D14" s="1306" t="s">
        <v>641</v>
      </c>
      <c r="E14" s="1307"/>
      <c r="F14" s="699">
        <f t="shared" si="0"/>
        <v>23000</v>
      </c>
      <c r="G14" s="504">
        <v>23000</v>
      </c>
      <c r="H14" s="5"/>
      <c r="I14" s="5"/>
      <c r="J14" s="5"/>
      <c r="K14" s="5"/>
      <c r="L14" s="5"/>
      <c r="M14" s="5"/>
      <c r="N14" s="5"/>
      <c r="O14" s="5"/>
    </row>
    <row r="15" spans="1:16" ht="150" customHeight="1" thickBot="1" x14ac:dyDescent="0.35">
      <c r="A15" s="1305"/>
      <c r="B15" s="1328"/>
      <c r="C15" s="811" t="s">
        <v>640</v>
      </c>
      <c r="D15" s="1319" t="s">
        <v>646</v>
      </c>
      <c r="E15" s="1320"/>
      <c r="F15" s="699">
        <f t="shared" si="0"/>
        <v>38400</v>
      </c>
      <c r="G15" s="504">
        <v>38400</v>
      </c>
      <c r="H15" s="5"/>
      <c r="I15" s="5"/>
      <c r="J15" s="5"/>
      <c r="K15" s="5"/>
      <c r="L15" s="5"/>
      <c r="M15" s="5"/>
      <c r="N15" s="5"/>
      <c r="O15" s="5"/>
    </row>
    <row r="16" spans="1:16" ht="43.5" customHeight="1" thickTop="1" x14ac:dyDescent="0.35">
      <c r="A16" s="1330" t="s">
        <v>644</v>
      </c>
      <c r="B16" s="1330"/>
      <c r="C16" s="1330"/>
      <c r="D16" s="1330"/>
      <c r="E16" s="1330"/>
      <c r="F16" s="1330"/>
      <c r="G16" s="81"/>
      <c r="H16" s="5"/>
      <c r="I16" s="5"/>
      <c r="J16" s="5"/>
      <c r="K16" s="5"/>
      <c r="L16" s="5"/>
      <c r="M16" s="5"/>
      <c r="N16" s="5"/>
      <c r="O16" s="5"/>
      <c r="P16" s="5"/>
    </row>
    <row r="17" spans="1:16" ht="43.5" customHeight="1" x14ac:dyDescent="0.35">
      <c r="A17" s="1329" t="s">
        <v>645</v>
      </c>
      <c r="B17" s="1329"/>
      <c r="C17" s="1329"/>
      <c r="D17" s="1329"/>
      <c r="E17" s="1329"/>
      <c r="F17" s="1329"/>
      <c r="G17" s="81"/>
      <c r="H17" s="5"/>
      <c r="I17" s="12"/>
      <c r="J17" s="12"/>
      <c r="K17" s="12"/>
      <c r="L17" s="12"/>
      <c r="M17" s="12"/>
      <c r="N17" s="12"/>
      <c r="O17" s="12"/>
      <c r="P17" s="13"/>
    </row>
    <row r="18" spans="1:16" x14ac:dyDescent="0.35">
      <c r="A18" s="14"/>
      <c r="B18" s="14"/>
      <c r="C18" s="5"/>
      <c r="D18" s="5"/>
      <c r="E18" s="5"/>
      <c r="F18" s="5"/>
      <c r="G18" s="81"/>
      <c r="H18" s="5"/>
      <c r="I18" s="12"/>
      <c r="J18" s="12"/>
      <c r="K18" s="12"/>
      <c r="L18" s="12"/>
      <c r="M18" s="12"/>
      <c r="N18" s="12"/>
      <c r="O18" s="12"/>
      <c r="P18" s="13"/>
    </row>
    <row r="19" spans="1:16" ht="14.25" customHeight="1" x14ac:dyDescent="0.3">
      <c r="A19" s="12"/>
      <c r="B19" s="12"/>
      <c r="C19" s="12"/>
      <c r="D19" s="12"/>
      <c r="E19" s="12"/>
      <c r="F19" s="12"/>
      <c r="G19" s="68"/>
      <c r="H19" s="12"/>
      <c r="I19" s="12"/>
      <c r="J19" s="12"/>
      <c r="K19" s="12"/>
      <c r="L19" s="12"/>
      <c r="M19" s="12"/>
      <c r="N19" s="12"/>
      <c r="O19" s="12"/>
      <c r="P19" s="5"/>
    </row>
    <row r="20" spans="1:16" x14ac:dyDescent="0.3">
      <c r="A20" s="12"/>
      <c r="B20" s="12"/>
      <c r="C20" s="12"/>
      <c r="D20" s="12"/>
      <c r="E20" s="12"/>
      <c r="F20" s="12"/>
      <c r="G20" s="68"/>
      <c r="H20" s="12"/>
      <c r="I20" s="5"/>
      <c r="J20" s="5"/>
      <c r="K20" s="5"/>
      <c r="L20" s="5"/>
      <c r="M20" s="5"/>
      <c r="N20" s="5"/>
      <c r="O20" s="5"/>
      <c r="P20" s="5"/>
    </row>
    <row r="21" spans="1:16" x14ac:dyDescent="0.2">
      <c r="A21" s="12"/>
      <c r="B21" s="12"/>
      <c r="C21" s="12"/>
      <c r="D21" s="12"/>
      <c r="E21" s="12"/>
      <c r="F21" s="12"/>
      <c r="G21" s="68"/>
      <c r="H21" s="12"/>
    </row>
    <row r="22" spans="1:16" x14ac:dyDescent="0.35">
      <c r="A22" s="5"/>
      <c r="B22" s="5"/>
      <c r="C22" s="5"/>
      <c r="D22" s="5"/>
      <c r="E22" s="5"/>
      <c r="F22" s="5"/>
      <c r="G22" s="81"/>
      <c r="H22" s="5"/>
    </row>
  </sheetData>
  <mergeCells count="23">
    <mergeCell ref="D15:E15"/>
    <mergeCell ref="B13:B15"/>
    <mergeCell ref="A17:F17"/>
    <mergeCell ref="A16:F16"/>
    <mergeCell ref="A13:A15"/>
    <mergeCell ref="D14:E14"/>
    <mergeCell ref="D13:E13"/>
    <mergeCell ref="A5:A12"/>
    <mergeCell ref="D11:E11"/>
    <mergeCell ref="D9:E9"/>
    <mergeCell ref="B7:B9"/>
    <mergeCell ref="E1:F1"/>
    <mergeCell ref="C2:D2"/>
    <mergeCell ref="B3:C3"/>
    <mergeCell ref="D3:E3"/>
    <mergeCell ref="D4:E4"/>
    <mergeCell ref="B5:B6"/>
    <mergeCell ref="D8:E8"/>
    <mergeCell ref="D6:E6"/>
    <mergeCell ref="D12:E12"/>
    <mergeCell ref="D7:E7"/>
    <mergeCell ref="D10:E10"/>
    <mergeCell ref="D5:E5"/>
  </mergeCells>
  <printOptions horizontalCentered="1"/>
  <pageMargins left="0" right="0" top="0" bottom="0" header="0" footer="0"/>
  <pageSetup paperSize="9" scale="36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6">
    <tabColor rgb="FFC00000"/>
    <pageSetUpPr fitToPage="1"/>
  </sheetPr>
  <dimension ref="A1:HL102"/>
  <sheetViews>
    <sheetView showGridLines="0" zoomScale="55" zoomScaleNormal="55" zoomScaleSheetLayoutView="50" zoomScalePageLayoutView="40" workbookViewId="0">
      <selection activeCell="N2" sqref="N2"/>
    </sheetView>
  </sheetViews>
  <sheetFormatPr defaultColWidth="8.7109375" defaultRowHeight="15" x14ac:dyDescent="0.25"/>
  <cols>
    <col min="1" max="1" width="38" style="30" customWidth="1"/>
    <col min="2" max="3" width="15.7109375" style="30" customWidth="1"/>
    <col min="4" max="4" width="26.7109375" style="30" customWidth="1"/>
    <col min="5" max="5" width="15.7109375" style="30" customWidth="1"/>
    <col min="6" max="8" width="20.7109375" style="30" customWidth="1"/>
    <col min="9" max="9" width="18.7109375" style="30" customWidth="1"/>
    <col min="10" max="11" width="20.7109375" style="30" customWidth="1"/>
    <col min="12" max="14" width="18.7109375" style="30" customWidth="1"/>
    <col min="15" max="15" width="13.42578125" style="428" hidden="1" customWidth="1"/>
    <col min="16" max="16" width="8" style="428" hidden="1" customWidth="1"/>
    <col min="17" max="17" width="11.140625" style="428" hidden="1" customWidth="1"/>
    <col min="18" max="18" width="7.140625" style="30" customWidth="1"/>
    <col min="19" max="16384" width="8.7109375" style="30"/>
  </cols>
  <sheetData>
    <row r="1" spans="1:220" ht="75.75" customHeight="1" x14ac:dyDescent="0.25">
      <c r="B1" s="34"/>
      <c r="C1" s="34"/>
      <c r="D1" s="34"/>
      <c r="E1" s="1925" t="s">
        <v>835</v>
      </c>
      <c r="F1" s="1925"/>
      <c r="G1" s="1925"/>
      <c r="H1" s="1925"/>
      <c r="I1" s="1925"/>
      <c r="J1" s="1925"/>
      <c r="K1" s="34"/>
      <c r="O1" s="468"/>
      <c r="P1" s="422"/>
      <c r="Q1" s="42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</row>
    <row r="2" spans="1:220" ht="33" customHeight="1" x14ac:dyDescent="0.35">
      <c r="A2" s="33"/>
      <c r="B2" s="33"/>
      <c r="C2" s="33"/>
      <c r="E2" s="1926"/>
      <c r="F2" s="1926"/>
      <c r="G2" s="1926"/>
      <c r="H2" s="1926"/>
      <c r="I2" s="1926"/>
      <c r="J2" s="1926"/>
      <c r="K2" s="140"/>
      <c r="M2" s="67" t="s">
        <v>132</v>
      </c>
      <c r="N2" s="348">
        <f>'Панельные ограждения GL (стр.1)'!N2</f>
        <v>46197</v>
      </c>
      <c r="O2" s="469"/>
    </row>
    <row r="3" spans="1:220" ht="125.1" customHeight="1" x14ac:dyDescent="0.35">
      <c r="A3" s="633" t="s">
        <v>76</v>
      </c>
      <c r="B3" s="1801" t="s">
        <v>71</v>
      </c>
      <c r="C3" s="1802"/>
      <c r="D3" s="1804" t="s">
        <v>71</v>
      </c>
      <c r="E3" s="1933"/>
      <c r="F3" s="1933"/>
      <c r="G3" s="1933"/>
      <c r="H3" s="1805"/>
      <c r="I3" s="633" t="s">
        <v>599</v>
      </c>
      <c r="J3" s="633" t="s">
        <v>30</v>
      </c>
      <c r="K3" s="1807" t="s">
        <v>775</v>
      </c>
      <c r="L3" s="1808"/>
      <c r="M3" s="1994" t="s">
        <v>537</v>
      </c>
      <c r="N3" s="1995"/>
      <c r="O3" s="654"/>
      <c r="P3" s="654"/>
      <c r="Q3" s="653" t="s">
        <v>361</v>
      </c>
    </row>
    <row r="4" spans="1:220" ht="150" customHeight="1" x14ac:dyDescent="0.25">
      <c r="A4" s="1019"/>
      <c r="B4" s="1888" t="s">
        <v>539</v>
      </c>
      <c r="C4" s="1890"/>
      <c r="D4" s="1934" t="s">
        <v>541</v>
      </c>
      <c r="E4" s="1935"/>
      <c r="F4" s="1935"/>
      <c r="G4" s="1935"/>
      <c r="H4" s="1936"/>
      <c r="I4" s="1018" t="s">
        <v>600</v>
      </c>
      <c r="J4" s="1018">
        <v>47.13</v>
      </c>
      <c r="K4" s="2013">
        <f>ROUND(O4*BelarusV_LFpe*(1-$B$51),2)</f>
        <v>25167</v>
      </c>
      <c r="L4" s="2014"/>
      <c r="M4" s="2011">
        <f>ROUND((K4+('Эл-ты панельных ограждений - 1'!J33*BelarusV)+('Модульные ограждения'!M48*8*BelarusV))/2.5,0)</f>
        <v>11419</v>
      </c>
      <c r="N4" s="2012"/>
      <c r="O4" s="700">
        <f>ROUND($Q$4*J4*P4,0)</f>
        <v>25167</v>
      </c>
      <c r="P4" s="701">
        <v>1</v>
      </c>
      <c r="Q4" s="1302">
        <v>534</v>
      </c>
    </row>
    <row r="5" spans="1:220" ht="50.1" customHeight="1" x14ac:dyDescent="0.25">
      <c r="A5" s="1982"/>
      <c r="B5" s="1835" t="s">
        <v>316</v>
      </c>
      <c r="C5" s="1836"/>
      <c r="D5" s="1937" t="s">
        <v>487</v>
      </c>
      <c r="E5" s="1938"/>
      <c r="F5" s="1938"/>
      <c r="G5" s="1938"/>
      <c r="H5" s="1939"/>
      <c r="I5" s="715" t="s">
        <v>601</v>
      </c>
      <c r="J5" s="716">
        <v>23.87</v>
      </c>
      <c r="K5" s="2005">
        <f>ROUND(O5*BelarusV_LFpe*(1-$B$51),0)</f>
        <v>13509</v>
      </c>
      <c r="L5" s="2006"/>
      <c r="M5" s="1999">
        <f>ROUND((K5+('Эл-ты панельных ограждений - 1'!J24*BelarusV)+('Эл-ты панельных ограждений - 1'!J58*4*BelarusV))/2.5,0)</f>
        <v>6072</v>
      </c>
      <c r="N5" s="2000"/>
      <c r="O5" s="700">
        <f>ROUND($Q$5*J5*P5,0)</f>
        <v>13509</v>
      </c>
      <c r="P5" s="701">
        <v>1.08</v>
      </c>
      <c r="Q5" s="1302">
        <v>524</v>
      </c>
      <c r="R5" s="335"/>
    </row>
    <row r="6" spans="1:220" ht="50.1" customHeight="1" x14ac:dyDescent="0.25">
      <c r="A6" s="1982"/>
      <c r="B6" s="1835"/>
      <c r="C6" s="1836"/>
      <c r="D6" s="1937"/>
      <c r="E6" s="1938"/>
      <c r="F6" s="1938"/>
      <c r="G6" s="1938"/>
      <c r="H6" s="1939"/>
      <c r="I6" s="142" t="s">
        <v>602</v>
      </c>
      <c r="J6" s="143">
        <v>30.59</v>
      </c>
      <c r="K6" s="2007">
        <f>ROUND(O6*BelarusV_LFpe*(1-$B$51),0)</f>
        <v>16670</v>
      </c>
      <c r="L6" s="2008"/>
      <c r="M6" s="2001">
        <f>ROUND((K6+('Эл-ты панельных ограждений - 1'!J28*BelarusV)+('Эл-ты панельных ограждений - 1'!J58*4*BelarusV))/2.5,0)</f>
        <v>7436</v>
      </c>
      <c r="N6" s="2002"/>
      <c r="O6" s="700">
        <f>ROUND($Q$5*J6*P6,0)</f>
        <v>16670</v>
      </c>
      <c r="P6" s="701">
        <v>1.04</v>
      </c>
      <c r="Q6" s="654"/>
      <c r="R6" s="335"/>
    </row>
    <row r="7" spans="1:220" ht="50.1" customHeight="1" x14ac:dyDescent="0.25">
      <c r="A7" s="1983"/>
      <c r="B7" s="1838"/>
      <c r="C7" s="1839"/>
      <c r="D7" s="1940"/>
      <c r="E7" s="1941"/>
      <c r="F7" s="1941"/>
      <c r="G7" s="1941"/>
      <c r="H7" s="1942"/>
      <c r="I7" s="144" t="s">
        <v>600</v>
      </c>
      <c r="J7" s="145">
        <v>38.979999999999997</v>
      </c>
      <c r="K7" s="2009">
        <f>ROUND(O7*BelarusV_LFpe*(1-$B$51),0)</f>
        <v>20426</v>
      </c>
      <c r="L7" s="2010"/>
      <c r="M7" s="2003">
        <f>ROUND((K7+('Эл-ты панельных ограждений - 1'!J33*BelarusV)+('Эл-ты панельных ограждений - 1'!J58*4*BelarusV))/2.5,0)</f>
        <v>9089</v>
      </c>
      <c r="N7" s="2004"/>
      <c r="O7" s="700">
        <f>ROUND($Q$5*J7*P7,0)</f>
        <v>20426</v>
      </c>
      <c r="P7" s="701">
        <v>1</v>
      </c>
      <c r="Q7" s="701"/>
      <c r="R7" s="335"/>
    </row>
    <row r="8" spans="1:220" ht="9.9499999999999993" customHeight="1" x14ac:dyDescent="0.25">
      <c r="A8" s="791"/>
      <c r="B8" s="757"/>
      <c r="C8" s="757"/>
      <c r="D8" s="758"/>
      <c r="E8" s="758"/>
      <c r="F8" s="758"/>
      <c r="G8" s="758"/>
      <c r="H8" s="758"/>
      <c r="I8" s="792"/>
      <c r="J8" s="793"/>
      <c r="K8" s="794"/>
      <c r="L8" s="794"/>
      <c r="M8" s="795"/>
      <c r="N8" s="795"/>
      <c r="O8" s="700"/>
      <c r="P8" s="701"/>
      <c r="Q8" s="701"/>
      <c r="R8" s="335"/>
    </row>
    <row r="9" spans="1:220" ht="99.95" customHeight="1" x14ac:dyDescent="0.3">
      <c r="A9" s="222" t="s">
        <v>76</v>
      </c>
      <c r="B9" s="1804" t="s">
        <v>71</v>
      </c>
      <c r="C9" s="1805"/>
      <c r="D9" s="1804" t="s">
        <v>13</v>
      </c>
      <c r="E9" s="1933"/>
      <c r="F9" s="1933"/>
      <c r="G9" s="1933"/>
      <c r="H9" s="1805"/>
      <c r="I9" s="1833"/>
      <c r="J9" s="1901"/>
      <c r="K9" s="1804" t="s">
        <v>599</v>
      </c>
      <c r="L9" s="1805"/>
      <c r="M9" s="1994" t="s">
        <v>480</v>
      </c>
      <c r="N9" s="1995"/>
      <c r="O9" s="798">
        <v>2980</v>
      </c>
      <c r="P9" s="799" t="s">
        <v>606</v>
      </c>
      <c r="Q9" s="701"/>
      <c r="R9" s="335"/>
    </row>
    <row r="10" spans="1:220" ht="60" customHeight="1" x14ac:dyDescent="0.25">
      <c r="A10" s="1886"/>
      <c r="B10" s="1886" t="s">
        <v>598</v>
      </c>
      <c r="C10" s="1886"/>
      <c r="D10" s="1951" t="s">
        <v>630</v>
      </c>
      <c r="E10" s="1952"/>
      <c r="F10" s="1952"/>
      <c r="G10" s="1952"/>
      <c r="H10" s="1952"/>
      <c r="I10" s="1836"/>
      <c r="J10" s="1985"/>
      <c r="K10" s="1997" t="s">
        <v>603</v>
      </c>
      <c r="L10" s="1998"/>
      <c r="M10" s="1996">
        <f>ROUND((O9+O10+O11+('Эл-ты панельных ограждений - 2'!H27*4))*BelarusV_LFpe*(1-$B$51),0)</f>
        <v>5187</v>
      </c>
      <c r="N10" s="1996"/>
      <c r="O10" s="700">
        <v>1704</v>
      </c>
      <c r="P10" s="797" t="s">
        <v>607</v>
      </c>
      <c r="Q10" s="701"/>
      <c r="R10" s="335"/>
    </row>
    <row r="11" spans="1:220" ht="60" customHeight="1" x14ac:dyDescent="0.25">
      <c r="A11" s="1886"/>
      <c r="B11" s="1886"/>
      <c r="C11" s="1886"/>
      <c r="D11" s="1940"/>
      <c r="E11" s="1941"/>
      <c r="F11" s="1941"/>
      <c r="G11" s="1941"/>
      <c r="H11" s="1941"/>
      <c r="I11" s="1839"/>
      <c r="J11" s="1902"/>
      <c r="K11" s="1845"/>
      <c r="L11" s="1846"/>
      <c r="M11" s="1996"/>
      <c r="N11" s="1996"/>
      <c r="O11" s="700">
        <v>103</v>
      </c>
      <c r="P11" s="797" t="s">
        <v>608</v>
      </c>
      <c r="Q11" s="701"/>
      <c r="R11" s="335"/>
    </row>
    <row r="12" spans="1:220" ht="9.9499999999999993" customHeight="1" x14ac:dyDescent="0.25">
      <c r="A12" s="791"/>
      <c r="B12" s="757"/>
      <c r="C12" s="757"/>
      <c r="D12" s="757"/>
      <c r="E12" s="757"/>
      <c r="F12" s="792"/>
      <c r="G12" s="791"/>
      <c r="H12" s="793"/>
      <c r="I12" s="796"/>
      <c r="J12" s="796"/>
      <c r="L12" s="50"/>
      <c r="M12" s="50"/>
      <c r="N12" s="50"/>
      <c r="O12" s="656"/>
      <c r="P12" s="656"/>
      <c r="Q12" s="656"/>
    </row>
    <row r="13" spans="1:220" ht="99.95" customHeight="1" x14ac:dyDescent="0.25">
      <c r="A13" s="222" t="s">
        <v>76</v>
      </c>
      <c r="B13" s="1804" t="s">
        <v>71</v>
      </c>
      <c r="C13" s="1805"/>
      <c r="D13" s="1804" t="s">
        <v>13</v>
      </c>
      <c r="E13" s="1933"/>
      <c r="F13" s="1933"/>
      <c r="G13" s="1933"/>
      <c r="H13" s="1805"/>
      <c r="I13" s="633" t="s">
        <v>599</v>
      </c>
      <c r="J13" s="223" t="s">
        <v>173</v>
      </c>
      <c r="K13" s="1807" t="s">
        <v>771</v>
      </c>
      <c r="L13" s="1808"/>
      <c r="M13" s="1994" t="s">
        <v>480</v>
      </c>
      <c r="N13" s="1995"/>
      <c r="O13" s="656"/>
      <c r="P13" s="656"/>
      <c r="Q13" s="656"/>
    </row>
    <row r="14" spans="1:220" ht="30" customHeight="1" x14ac:dyDescent="0.25">
      <c r="A14" s="1880"/>
      <c r="B14" s="1927" t="s">
        <v>14</v>
      </c>
      <c r="C14" s="1928"/>
      <c r="D14" s="1966" t="s">
        <v>774</v>
      </c>
      <c r="E14" s="1992" t="s">
        <v>776</v>
      </c>
      <c r="F14" s="1993"/>
      <c r="G14" s="1993"/>
      <c r="H14" s="902" t="s">
        <v>218</v>
      </c>
      <c r="I14" s="1990" t="s">
        <v>604</v>
      </c>
      <c r="J14" s="1911" t="s">
        <v>780</v>
      </c>
      <c r="K14" s="2023">
        <f>ROUND((('Панельные ограждения GL (стр.1)'!K7*'Панельные ограждения GL (стр.1)'!L7*'Панельные ограждения GL (стр.1)'!F7)*BelarusV)*(1-$B$51),0)</f>
        <v>1626</v>
      </c>
      <c r="L14" s="1980"/>
      <c r="M14" s="2019">
        <f>ROUND((K14+K15+K16+K17+(K18*2))/2.5,0)</f>
        <v>1583</v>
      </c>
      <c r="N14" s="2020"/>
      <c r="O14" s="656"/>
      <c r="P14" s="656"/>
      <c r="Q14" s="656"/>
    </row>
    <row r="15" spans="1:220" ht="30" customHeight="1" x14ac:dyDescent="0.25">
      <c r="A15" s="1880"/>
      <c r="B15" s="1929"/>
      <c r="C15" s="1930"/>
      <c r="D15" s="1967"/>
      <c r="E15" s="1969" t="s">
        <v>779</v>
      </c>
      <c r="F15" s="1970"/>
      <c r="G15" s="1970"/>
      <c r="H15" s="903" t="s">
        <v>218</v>
      </c>
      <c r="I15" s="1975"/>
      <c r="J15" s="1949"/>
      <c r="K15" s="1971">
        <f>ROUND((('Модульные ограждения'!M27/2)*BelarusV)*(1-$B$51),0)</f>
        <v>711</v>
      </c>
      <c r="L15" s="1972"/>
      <c r="M15" s="1955"/>
      <c r="N15" s="1956"/>
      <c r="O15" s="656"/>
      <c r="P15" s="656"/>
      <c r="Q15" s="656"/>
    </row>
    <row r="16" spans="1:220" ht="30" customHeight="1" x14ac:dyDescent="0.25">
      <c r="A16" s="1880"/>
      <c r="B16" s="1929"/>
      <c r="C16" s="1930"/>
      <c r="D16" s="1967"/>
      <c r="E16" s="1969" t="s">
        <v>778</v>
      </c>
      <c r="F16" s="1970"/>
      <c r="G16" s="1970"/>
      <c r="H16" s="903" t="s">
        <v>218</v>
      </c>
      <c r="I16" s="1975"/>
      <c r="J16" s="1949"/>
      <c r="K16" s="1971">
        <f>ROUND(('Модульные ограждения'!M24*BelarusV)*(1-$B$51),0)</f>
        <v>1185</v>
      </c>
      <c r="L16" s="1972"/>
      <c r="M16" s="1955"/>
      <c r="N16" s="1956"/>
      <c r="O16" s="656"/>
      <c r="P16" s="656"/>
      <c r="Q16" s="656"/>
    </row>
    <row r="17" spans="1:19" ht="30" customHeight="1" x14ac:dyDescent="0.25">
      <c r="A17" s="1880"/>
      <c r="B17" s="1929"/>
      <c r="C17" s="1930"/>
      <c r="D17" s="1967"/>
      <c r="E17" s="1969" t="s">
        <v>102</v>
      </c>
      <c r="F17" s="1970"/>
      <c r="G17" s="1970"/>
      <c r="H17" s="903" t="s">
        <v>218</v>
      </c>
      <c r="I17" s="1975"/>
      <c r="J17" s="1949"/>
      <c r="K17" s="1971">
        <f>ROUND(('Модульные ограждения'!M28*BelarusV)*(1-$B$51),0)</f>
        <v>78</v>
      </c>
      <c r="L17" s="1972"/>
      <c r="M17" s="1955"/>
      <c r="N17" s="1956"/>
      <c r="O17" s="656"/>
      <c r="P17" s="656"/>
      <c r="Q17" s="656"/>
    </row>
    <row r="18" spans="1:19" ht="30" customHeight="1" x14ac:dyDescent="0.25">
      <c r="A18" s="1880"/>
      <c r="B18" s="1929"/>
      <c r="C18" s="1930"/>
      <c r="D18" s="1967"/>
      <c r="E18" s="1969" t="s">
        <v>781</v>
      </c>
      <c r="F18" s="1970"/>
      <c r="G18" s="1970"/>
      <c r="H18" s="903" t="s">
        <v>767</v>
      </c>
      <c r="I18" s="1975"/>
      <c r="J18" s="1949"/>
      <c r="K18" s="1971">
        <f>ROUND(('Эл-ты панельных ограждений - 1'!J50*BelarusV)*(1-$B$51),0)</f>
        <v>179</v>
      </c>
      <c r="L18" s="1972"/>
      <c r="M18" s="1955"/>
      <c r="N18" s="1956"/>
      <c r="O18" s="656"/>
      <c r="P18" s="656"/>
      <c r="Q18" s="656"/>
    </row>
    <row r="19" spans="1:19" ht="30" customHeight="1" x14ac:dyDescent="0.25">
      <c r="A19" s="1880"/>
      <c r="B19" s="1929"/>
      <c r="C19" s="1930"/>
      <c r="D19" s="1968"/>
      <c r="E19" s="2024" t="s">
        <v>772</v>
      </c>
      <c r="F19" s="2025"/>
      <c r="G19" s="2025"/>
      <c r="H19" s="2026"/>
      <c r="I19" s="1975"/>
      <c r="J19" s="1949"/>
      <c r="K19" s="2021" t="s">
        <v>18</v>
      </c>
      <c r="L19" s="2022"/>
      <c r="M19" s="1957"/>
      <c r="N19" s="1958"/>
      <c r="O19" s="656"/>
      <c r="P19" s="656"/>
      <c r="Q19" s="656"/>
    </row>
    <row r="20" spans="1:19" ht="30" customHeight="1" x14ac:dyDescent="0.25">
      <c r="A20" s="1880"/>
      <c r="B20" s="1929"/>
      <c r="C20" s="1930"/>
      <c r="D20" s="1966" t="s">
        <v>773</v>
      </c>
      <c r="E20" s="1992" t="s">
        <v>777</v>
      </c>
      <c r="F20" s="1993"/>
      <c r="G20" s="1993"/>
      <c r="H20" s="902" t="s">
        <v>218</v>
      </c>
      <c r="I20" s="1975"/>
      <c r="J20" s="1949"/>
      <c r="K20" s="1979">
        <f>ROUND((('Панельные ограждения GL (стр.1)'!K27*'Панельные ограждения GL (стр.1)'!L27*'Панельные ограждения GL (стр.1)'!F27)*BelarusV)*(1-$B$51),0)</f>
        <v>2468</v>
      </c>
      <c r="L20" s="1980"/>
      <c r="M20" s="1955">
        <f>ROUND((K20+K21+K22+K23+(K24*2))/2.5,0)</f>
        <v>1920</v>
      </c>
      <c r="N20" s="1956"/>
      <c r="O20" s="656"/>
      <c r="P20" s="656"/>
      <c r="Q20" s="656"/>
    </row>
    <row r="21" spans="1:19" ht="30" customHeight="1" x14ac:dyDescent="0.25">
      <c r="A21" s="1880"/>
      <c r="B21" s="1929"/>
      <c r="C21" s="1930"/>
      <c r="D21" s="1967"/>
      <c r="E21" s="1969" t="s">
        <v>779</v>
      </c>
      <c r="F21" s="1970"/>
      <c r="G21" s="1970"/>
      <c r="H21" s="903" t="s">
        <v>218</v>
      </c>
      <c r="I21" s="1975"/>
      <c r="J21" s="1949"/>
      <c r="K21" s="1971">
        <f>ROUND((('Модульные ограждения'!M27/2)*BelarusV)*(1-$B$51),0)</f>
        <v>711</v>
      </c>
      <c r="L21" s="1972"/>
      <c r="M21" s="1955"/>
      <c r="N21" s="1956"/>
      <c r="O21" s="656"/>
      <c r="P21" s="656"/>
      <c r="Q21" s="656"/>
    </row>
    <row r="22" spans="1:19" ht="30" customHeight="1" x14ac:dyDescent="0.25">
      <c r="A22" s="1880"/>
      <c r="B22" s="1929"/>
      <c r="C22" s="1930"/>
      <c r="D22" s="1967"/>
      <c r="E22" s="1969" t="s">
        <v>778</v>
      </c>
      <c r="F22" s="1970"/>
      <c r="G22" s="1970"/>
      <c r="H22" s="903" t="s">
        <v>218</v>
      </c>
      <c r="I22" s="1975"/>
      <c r="J22" s="1949"/>
      <c r="K22" s="1971">
        <f>ROUND(('Модульные ограждения'!M24*BelarusV)*(1-$B$51),0)</f>
        <v>1185</v>
      </c>
      <c r="L22" s="1972"/>
      <c r="M22" s="1955"/>
      <c r="N22" s="1956"/>
      <c r="O22" s="656"/>
      <c r="P22" s="656"/>
      <c r="Q22" s="656"/>
    </row>
    <row r="23" spans="1:19" ht="30" customHeight="1" x14ac:dyDescent="0.25">
      <c r="A23" s="1880"/>
      <c r="B23" s="1929"/>
      <c r="C23" s="1930"/>
      <c r="D23" s="1967"/>
      <c r="E23" s="1969" t="s">
        <v>102</v>
      </c>
      <c r="F23" s="1970"/>
      <c r="G23" s="1970"/>
      <c r="H23" s="903" t="s">
        <v>218</v>
      </c>
      <c r="I23" s="1975"/>
      <c r="J23" s="1949"/>
      <c r="K23" s="1971">
        <f>ROUND(('Модульные ограждения'!M28*BelarusV)*(1-$B$51),0)</f>
        <v>78</v>
      </c>
      <c r="L23" s="1972"/>
      <c r="M23" s="1955"/>
      <c r="N23" s="1956"/>
      <c r="O23" s="656"/>
      <c r="P23" s="656"/>
      <c r="Q23" s="656"/>
    </row>
    <row r="24" spans="1:19" ht="30" customHeight="1" x14ac:dyDescent="0.25">
      <c r="A24" s="1880"/>
      <c r="B24" s="1929"/>
      <c r="C24" s="1930"/>
      <c r="D24" s="1967"/>
      <c r="E24" s="1969" t="s">
        <v>781</v>
      </c>
      <c r="F24" s="1970"/>
      <c r="G24" s="1970"/>
      <c r="H24" s="903" t="s">
        <v>767</v>
      </c>
      <c r="I24" s="1975"/>
      <c r="J24" s="1949"/>
      <c r="K24" s="1971">
        <f>ROUND(('Эл-ты панельных ограждений - 1'!J50*BelarusV)*(1-$B$51),0)</f>
        <v>179</v>
      </c>
      <c r="L24" s="1972"/>
      <c r="M24" s="1955"/>
      <c r="N24" s="1956"/>
      <c r="O24" s="656"/>
      <c r="P24" s="656"/>
      <c r="Q24" s="656"/>
    </row>
    <row r="25" spans="1:19" ht="30" customHeight="1" thickBot="1" x14ac:dyDescent="0.3">
      <c r="A25" s="1984"/>
      <c r="B25" s="1929"/>
      <c r="C25" s="1930"/>
      <c r="D25" s="1968"/>
      <c r="E25" s="2027" t="s">
        <v>772</v>
      </c>
      <c r="F25" s="2028"/>
      <c r="G25" s="2028"/>
      <c r="H25" s="2029"/>
      <c r="I25" s="1991"/>
      <c r="J25" s="1950"/>
      <c r="K25" s="1973" t="s">
        <v>18</v>
      </c>
      <c r="L25" s="1974"/>
      <c r="M25" s="1977"/>
      <c r="N25" s="1978"/>
      <c r="O25" s="656"/>
      <c r="P25" s="656"/>
      <c r="Q25" s="656"/>
    </row>
    <row r="26" spans="1:19" ht="49.5" customHeight="1" thickTop="1" x14ac:dyDescent="0.25">
      <c r="A26" s="1912"/>
      <c r="B26" s="1929"/>
      <c r="C26" s="1930"/>
      <c r="D26" s="1961" t="s">
        <v>768</v>
      </c>
      <c r="E26" s="1943" t="s">
        <v>765</v>
      </c>
      <c r="F26" s="1944"/>
      <c r="G26" s="1944"/>
      <c r="H26" s="904" t="s">
        <v>218</v>
      </c>
      <c r="I26" s="1975" t="s">
        <v>605</v>
      </c>
      <c r="J26" s="1949" t="s">
        <v>243</v>
      </c>
      <c r="K26" s="1986">
        <f>ROUND((((('Панельные ограждения GL (стр.1)'!K7*'Панельные ограждения GL (стр.1)'!L7*'Панельные ограждения GL (стр.1)'!F7)+'Модульные ограждения'!M32)*1.2)*BelarusV)*(1-$B$51),0)</f>
        <v>2830</v>
      </c>
      <c r="L26" s="1987"/>
      <c r="M26" s="1959">
        <f>ROUND((K26+K27+(K28*2))/2.2,0)</f>
        <v>2027</v>
      </c>
      <c r="N26" s="1960"/>
      <c r="O26" s="700"/>
      <c r="P26" s="656"/>
      <c r="Q26" s="656"/>
      <c r="S26" s="901"/>
    </row>
    <row r="27" spans="1:19" ht="30" customHeight="1" x14ac:dyDescent="0.25">
      <c r="A27" s="1880"/>
      <c r="B27" s="1929"/>
      <c r="C27" s="1930"/>
      <c r="D27" s="1962"/>
      <c r="E27" s="1945" t="s">
        <v>764</v>
      </c>
      <c r="F27" s="1946"/>
      <c r="G27" s="1946"/>
      <c r="H27" s="903" t="s">
        <v>218</v>
      </c>
      <c r="I27" s="1975"/>
      <c r="J27" s="1949"/>
      <c r="K27" s="1988">
        <f>ROUND(('Эл-ты панельных ограждений - 1'!J25*BelarusV)*(1-$B$51),0)</f>
        <v>1271</v>
      </c>
      <c r="L27" s="1989"/>
      <c r="M27" s="1955"/>
      <c r="N27" s="1956"/>
      <c r="O27" s="900"/>
      <c r="P27" s="656"/>
      <c r="Q27" s="656"/>
      <c r="S27" s="901"/>
    </row>
    <row r="28" spans="1:19" ht="30" customHeight="1" x14ac:dyDescent="0.25">
      <c r="A28" s="1880"/>
      <c r="B28" s="1929"/>
      <c r="C28" s="1930"/>
      <c r="D28" s="1963"/>
      <c r="E28" s="1947" t="s">
        <v>766</v>
      </c>
      <c r="F28" s="1948"/>
      <c r="G28" s="1948"/>
      <c r="H28" s="905" t="s">
        <v>767</v>
      </c>
      <c r="I28" s="1975"/>
      <c r="J28" s="1949"/>
      <c r="K28" s="1953">
        <f>ROUND(('Эл-ты панельных ограждений - 1'!J50*BelarusV)*(1-$B$51),0)</f>
        <v>179</v>
      </c>
      <c r="L28" s="1954"/>
      <c r="M28" s="1957"/>
      <c r="N28" s="1958"/>
      <c r="O28" s="900"/>
      <c r="P28" s="656"/>
      <c r="Q28" s="656"/>
    </row>
    <row r="29" spans="1:19" ht="50.1" customHeight="1" x14ac:dyDescent="0.25">
      <c r="A29" s="1880"/>
      <c r="B29" s="1929"/>
      <c r="C29" s="1930"/>
      <c r="D29" s="1962" t="s">
        <v>769</v>
      </c>
      <c r="E29" s="1964" t="s">
        <v>770</v>
      </c>
      <c r="F29" s="1965"/>
      <c r="G29" s="1965"/>
      <c r="H29" s="902" t="s">
        <v>218</v>
      </c>
      <c r="I29" s="1975"/>
      <c r="J29" s="1949"/>
      <c r="K29" s="1986">
        <f>ROUNDUP((((('Панельные ограждения GL (стр.1)'!K27*'Панельные ограждения GL (стр.1)'!L27*'Панельные ограждения GL (стр.1)'!F27)+'Модульные ограждения'!M32)*1.2)*BelarusV)*(1-$B$51),0)</f>
        <v>3840</v>
      </c>
      <c r="L29" s="1987"/>
      <c r="M29" s="1955">
        <f>ROUND((K29+K30+(K31*2))/2.2,0)</f>
        <v>2486</v>
      </c>
      <c r="N29" s="1956"/>
      <c r="O29" s="656"/>
      <c r="P29" s="656"/>
      <c r="Q29" s="656"/>
    </row>
    <row r="30" spans="1:19" ht="30" customHeight="1" x14ac:dyDescent="0.25">
      <c r="A30" s="1880"/>
      <c r="B30" s="1929"/>
      <c r="C30" s="1930"/>
      <c r="D30" s="1962"/>
      <c r="E30" s="1945" t="s">
        <v>764</v>
      </c>
      <c r="F30" s="1946"/>
      <c r="G30" s="1946"/>
      <c r="H30" s="903" t="s">
        <v>218</v>
      </c>
      <c r="I30" s="1975"/>
      <c r="J30" s="1949"/>
      <c r="K30" s="1988">
        <f>ROUND(('Эл-ты панельных ограждений - 1'!J25*BelarusV)*(1-$B$51),0)</f>
        <v>1271</v>
      </c>
      <c r="L30" s="1989"/>
      <c r="M30" s="1955"/>
      <c r="N30" s="1956"/>
      <c r="O30" s="656"/>
      <c r="P30" s="656"/>
      <c r="Q30" s="656"/>
    </row>
    <row r="31" spans="1:19" ht="30" customHeight="1" x14ac:dyDescent="0.25">
      <c r="A31" s="1880"/>
      <c r="B31" s="1931"/>
      <c r="C31" s="1932"/>
      <c r="D31" s="1963"/>
      <c r="E31" s="1947" t="s">
        <v>766</v>
      </c>
      <c r="F31" s="1948"/>
      <c r="G31" s="1948"/>
      <c r="H31" s="905" t="s">
        <v>767</v>
      </c>
      <c r="I31" s="1976"/>
      <c r="J31" s="1912"/>
      <c r="K31" s="1953">
        <f>ROUND(('Эл-ты панельных ограждений - 1'!J50*BelarusV)*(1-$B$51),0)</f>
        <v>179</v>
      </c>
      <c r="L31" s="1954"/>
      <c r="M31" s="1957"/>
      <c r="N31" s="1958"/>
      <c r="O31" s="656"/>
      <c r="P31" s="656"/>
      <c r="Q31" s="656"/>
    </row>
    <row r="32" spans="1:19" ht="9.9499999999999993" customHeight="1" x14ac:dyDescent="0.25">
      <c r="A32" s="1020"/>
      <c r="B32" s="1021"/>
      <c r="C32" s="1021"/>
      <c r="D32" s="1925" t="s">
        <v>819</v>
      </c>
      <c r="E32" s="1925"/>
      <c r="F32" s="1925"/>
      <c r="G32" s="1925"/>
      <c r="H32" s="1925"/>
      <c r="I32" s="1925"/>
      <c r="J32" s="1020"/>
      <c r="K32" s="1022"/>
      <c r="L32" s="1022"/>
      <c r="M32" s="1023"/>
      <c r="N32" s="1023"/>
      <c r="O32" s="656"/>
      <c r="P32" s="656"/>
      <c r="Q32" s="656"/>
    </row>
    <row r="33" spans="1:18" ht="30" customHeight="1" x14ac:dyDescent="0.25">
      <c r="A33" s="1020"/>
      <c r="B33" s="1021"/>
      <c r="C33" s="1021"/>
      <c r="D33" s="1925"/>
      <c r="E33" s="1925"/>
      <c r="F33" s="1925"/>
      <c r="G33" s="1925"/>
      <c r="H33" s="1925"/>
      <c r="I33" s="1925"/>
      <c r="J33" s="1020"/>
      <c r="K33" s="1022"/>
      <c r="L33" s="1022"/>
      <c r="M33" s="1023"/>
      <c r="N33" s="1023"/>
      <c r="O33" s="656"/>
      <c r="P33" s="656"/>
      <c r="Q33" s="656"/>
    </row>
    <row r="34" spans="1:18" ht="75" customHeight="1" thickBot="1" x14ac:dyDescent="0.3">
      <c r="A34" s="223" t="s">
        <v>76</v>
      </c>
      <c r="B34" s="1804" t="s">
        <v>71</v>
      </c>
      <c r="C34" s="1805"/>
      <c r="D34" s="1801" t="s">
        <v>13</v>
      </c>
      <c r="E34" s="1802"/>
      <c r="F34" s="1933"/>
      <c r="G34" s="1933"/>
      <c r="H34" s="1805"/>
      <c r="I34" s="1804" t="s">
        <v>821</v>
      </c>
      <c r="J34" s="1805"/>
      <c r="K34" s="1807" t="s">
        <v>830</v>
      </c>
      <c r="L34" s="1808"/>
      <c r="M34" s="2017" t="s">
        <v>372</v>
      </c>
      <c r="N34" s="2018"/>
      <c r="O34" s="656"/>
      <c r="P34" s="656"/>
      <c r="Q34" s="656"/>
    </row>
    <row r="35" spans="1:18" ht="140.1" customHeight="1" thickTop="1" x14ac:dyDescent="0.25">
      <c r="A35" s="1018"/>
      <c r="B35" s="2015" t="s">
        <v>826</v>
      </c>
      <c r="C35" s="2016"/>
      <c r="D35" s="2031" t="s">
        <v>834</v>
      </c>
      <c r="E35" s="2032"/>
      <c r="F35" s="2037" t="s">
        <v>838</v>
      </c>
      <c r="G35" s="2038"/>
      <c r="H35" s="2038"/>
      <c r="I35" s="2041" t="s">
        <v>822</v>
      </c>
      <c r="J35" s="2042"/>
      <c r="K35" s="2039">
        <v>2.99</v>
      </c>
      <c r="L35" s="2040"/>
      <c r="M35" s="2043">
        <f>ROUND(O35*BelarusV_LFzn*(1-$B$51),0)</f>
        <v>2268</v>
      </c>
      <c r="N35" s="2044"/>
      <c r="O35" s="700">
        <v>2268</v>
      </c>
      <c r="P35" s="656"/>
      <c r="Q35" s="656"/>
    </row>
    <row r="36" spans="1:18" ht="140.1" customHeight="1" x14ac:dyDescent="0.25">
      <c r="A36" s="1018"/>
      <c r="B36" s="2015" t="s">
        <v>827</v>
      </c>
      <c r="C36" s="2016"/>
      <c r="D36" s="2033"/>
      <c r="E36" s="2034"/>
      <c r="F36" s="2037" t="s">
        <v>839</v>
      </c>
      <c r="G36" s="2038"/>
      <c r="H36" s="2038"/>
      <c r="I36" s="2041" t="s">
        <v>823</v>
      </c>
      <c r="J36" s="2042"/>
      <c r="K36" s="2039">
        <v>5.64</v>
      </c>
      <c r="L36" s="2040"/>
      <c r="M36" s="2043">
        <f>ROUND(O36*BelarusV_LFzn*(1-$B$51),0)</f>
        <v>4276</v>
      </c>
      <c r="N36" s="2044"/>
      <c r="O36" s="700">
        <v>4276</v>
      </c>
      <c r="P36" s="656"/>
      <c r="Q36" s="656"/>
    </row>
    <row r="37" spans="1:18" ht="140.1" customHeight="1" x14ac:dyDescent="0.25">
      <c r="A37" s="1018"/>
      <c r="B37" s="2015" t="s">
        <v>828</v>
      </c>
      <c r="C37" s="2016"/>
      <c r="D37" s="2033"/>
      <c r="E37" s="2034"/>
      <c r="F37" s="2037" t="s">
        <v>840</v>
      </c>
      <c r="G37" s="2038"/>
      <c r="H37" s="2038"/>
      <c r="I37" s="2041" t="s">
        <v>824</v>
      </c>
      <c r="J37" s="2042"/>
      <c r="K37" s="2039">
        <v>5.66</v>
      </c>
      <c r="L37" s="2040"/>
      <c r="M37" s="2043">
        <f>ROUND(O37*BelarusV_LFzn*(1-$B$51),0)</f>
        <v>4276</v>
      </c>
      <c r="N37" s="2044"/>
      <c r="O37" s="700">
        <v>4276</v>
      </c>
      <c r="P37" s="656"/>
      <c r="Q37" s="656"/>
    </row>
    <row r="38" spans="1:18" ht="139.5" customHeight="1" thickBot="1" x14ac:dyDescent="0.3">
      <c r="A38" s="1018"/>
      <c r="B38" s="2015" t="s">
        <v>829</v>
      </c>
      <c r="C38" s="2016"/>
      <c r="D38" s="2035"/>
      <c r="E38" s="2036"/>
      <c r="F38" s="2037" t="s">
        <v>820</v>
      </c>
      <c r="G38" s="2038"/>
      <c r="H38" s="2038"/>
      <c r="I38" s="2041" t="s">
        <v>825</v>
      </c>
      <c r="J38" s="2042"/>
      <c r="K38" s="2039">
        <v>10.07</v>
      </c>
      <c r="L38" s="2040"/>
      <c r="M38" s="2043">
        <f>ROUND(O38*BelarusV_LFzn*(1-$B$51),0)</f>
        <v>7634</v>
      </c>
      <c r="N38" s="2044"/>
      <c r="O38" s="700">
        <v>7634</v>
      </c>
      <c r="P38" s="656"/>
      <c r="Q38" s="656"/>
    </row>
    <row r="39" spans="1:18" ht="9.9499999999999993" customHeight="1" thickTop="1" x14ac:dyDescent="0.25">
      <c r="A39" s="37"/>
      <c r="B39" s="35"/>
      <c r="C39" s="35"/>
      <c r="D39" s="35"/>
      <c r="E39" s="35"/>
      <c r="F39" s="36"/>
      <c r="G39" s="37"/>
      <c r="H39" s="38"/>
      <c r="I39" s="38"/>
      <c r="J39" s="39"/>
      <c r="L39" s="39"/>
      <c r="M39" s="39"/>
      <c r="N39" s="39"/>
      <c r="O39" s="656"/>
      <c r="P39" s="656"/>
      <c r="Q39" s="656"/>
    </row>
    <row r="40" spans="1:18" ht="34.5" customHeight="1" x14ac:dyDescent="0.25">
      <c r="A40" s="1026" t="s">
        <v>665</v>
      </c>
      <c r="B40" s="714"/>
      <c r="C40" s="714"/>
      <c r="D40" s="714"/>
      <c r="E40" s="714"/>
      <c r="F40" s="2045" t="s">
        <v>1353</v>
      </c>
      <c r="G40" s="2045"/>
      <c r="H40" s="2045"/>
      <c r="I40" s="2045"/>
      <c r="J40" s="2045"/>
      <c r="K40" s="2045"/>
      <c r="L40" s="2045"/>
      <c r="M40" s="2045" t="s">
        <v>1354</v>
      </c>
      <c r="N40" s="2045"/>
      <c r="O40" s="655"/>
      <c r="P40" s="656"/>
      <c r="Q40" s="656"/>
    </row>
    <row r="41" spans="1:18" ht="35.1" customHeight="1" x14ac:dyDescent="0.25">
      <c r="A41" s="1026" t="s">
        <v>297</v>
      </c>
      <c r="B41" s="274"/>
      <c r="C41" s="274"/>
      <c r="D41" s="274"/>
      <c r="E41" s="274"/>
      <c r="F41" s="2045"/>
      <c r="G41" s="2045"/>
      <c r="H41" s="2045"/>
      <c r="I41" s="2045"/>
      <c r="J41" s="2045"/>
      <c r="K41" s="2045"/>
      <c r="L41" s="2045"/>
      <c r="M41" s="2045"/>
      <c r="N41" s="2045"/>
      <c r="O41" s="655"/>
      <c r="P41" s="656"/>
      <c r="Q41" s="656"/>
    </row>
    <row r="42" spans="1:18" ht="45" customHeight="1" x14ac:dyDescent="0.25">
      <c r="A42" s="1026"/>
      <c r="B42" s="274"/>
      <c r="C42" s="274"/>
      <c r="D42" s="274"/>
      <c r="E42" s="274"/>
      <c r="F42" s="2030" t="s">
        <v>1361</v>
      </c>
      <c r="G42" s="2030"/>
      <c r="H42" s="2030"/>
      <c r="I42" s="2030"/>
      <c r="J42" s="2030"/>
      <c r="K42" s="2030"/>
      <c r="L42" s="2030"/>
      <c r="M42" s="2030"/>
      <c r="N42" s="2030"/>
      <c r="O42" s="655"/>
      <c r="P42" s="742"/>
      <c r="Q42" s="656"/>
    </row>
    <row r="43" spans="1:18" ht="9.9499999999999993" customHeight="1" x14ac:dyDescent="0.25">
      <c r="B43" s="274"/>
      <c r="C43" s="274"/>
      <c r="D43" s="274"/>
      <c r="E43" s="274"/>
      <c r="F43" s="48"/>
      <c r="G43" s="16"/>
      <c r="H43" s="16"/>
      <c r="I43" s="16"/>
      <c r="J43" s="16"/>
      <c r="K43" s="16"/>
      <c r="L43" s="16"/>
      <c r="M43" s="16"/>
      <c r="N43" s="16"/>
      <c r="O43" s="655"/>
      <c r="P43" s="742"/>
      <c r="Q43" s="656"/>
    </row>
    <row r="44" spans="1:18" ht="39.950000000000003" customHeight="1" x14ac:dyDescent="0.25">
      <c r="A44" s="1981" t="s">
        <v>524</v>
      </c>
      <c r="B44" s="1981"/>
      <c r="C44" s="1981"/>
      <c r="D44" s="1981"/>
      <c r="E44" s="1981"/>
      <c r="F44" s="1981"/>
      <c r="G44" s="1981"/>
      <c r="H44" s="1981"/>
      <c r="I44" s="1981"/>
      <c r="J44" s="1981"/>
      <c r="K44" s="1981"/>
      <c r="L44" s="1981"/>
      <c r="M44" s="1981"/>
      <c r="N44" s="1981"/>
      <c r="O44" s="655"/>
      <c r="P44" s="742"/>
      <c r="Q44" s="656"/>
    </row>
    <row r="45" spans="1:18" ht="9.9499999999999993" customHeight="1" x14ac:dyDescent="0.25">
      <c r="O45" s="655"/>
      <c r="P45" s="656"/>
      <c r="Q45" s="656"/>
    </row>
    <row r="46" spans="1:18" ht="39.950000000000003" customHeight="1" x14ac:dyDescent="0.25">
      <c r="A46" s="1708" t="s">
        <v>553</v>
      </c>
      <c r="B46" s="1594"/>
      <c r="C46" s="1594"/>
      <c r="D46" s="1594"/>
      <c r="E46" s="1594"/>
      <c r="F46" s="1594"/>
      <c r="G46" s="1594"/>
      <c r="H46" s="1594"/>
      <c r="I46" s="1594"/>
      <c r="J46" s="1594"/>
      <c r="K46" s="1594"/>
      <c r="L46" s="1594"/>
      <c r="M46" s="1594"/>
      <c r="N46" s="1709"/>
      <c r="O46" s="655"/>
      <c r="P46" s="656"/>
      <c r="Q46" s="656"/>
      <c r="R46" s="335"/>
    </row>
    <row r="47" spans="1:18" ht="39.950000000000003" customHeight="1" x14ac:dyDescent="0.25">
      <c r="A47" s="1323" t="s">
        <v>554</v>
      </c>
      <c r="B47" s="1574"/>
      <c r="C47" s="1574"/>
      <c r="D47" s="1574"/>
      <c r="E47" s="1574"/>
      <c r="F47" s="1574"/>
      <c r="G47" s="1574"/>
      <c r="H47" s="1574"/>
      <c r="I47" s="1574"/>
      <c r="J47" s="1574"/>
      <c r="K47" s="1574"/>
      <c r="L47" s="1574"/>
      <c r="M47" s="1574"/>
      <c r="N47" s="1324"/>
      <c r="O47" s="655"/>
      <c r="P47" s="656"/>
      <c r="Q47" s="656"/>
      <c r="R47" s="335"/>
    </row>
    <row r="48" spans="1:18" ht="60" customHeight="1" x14ac:dyDescent="0.25">
      <c r="A48" s="1576" t="s">
        <v>555</v>
      </c>
      <c r="B48" s="1577"/>
      <c r="C48" s="1577"/>
      <c r="D48" s="1577"/>
      <c r="E48" s="1577"/>
      <c r="F48" s="1577"/>
      <c r="G48" s="1577"/>
      <c r="H48" s="1577"/>
      <c r="I48" s="1577"/>
      <c r="J48" s="1577"/>
      <c r="K48" s="1577"/>
      <c r="L48" s="1577"/>
      <c r="M48" s="1577"/>
      <c r="N48" s="1578"/>
      <c r="O48" s="655"/>
      <c r="P48" s="656"/>
      <c r="Q48" s="656"/>
      <c r="R48" s="335"/>
    </row>
    <row r="49" spans="1:18" ht="39.950000000000003" customHeight="1" x14ac:dyDescent="0.25">
      <c r="O49" s="499"/>
      <c r="R49" s="335"/>
    </row>
    <row r="50" spans="1:18" ht="39.950000000000003" customHeight="1" x14ac:dyDescent="0.25">
      <c r="A50" s="1437" t="s">
        <v>26</v>
      </c>
      <c r="B50" s="1881" t="s">
        <v>65</v>
      </c>
      <c r="C50" s="1881"/>
      <c r="O50" s="499"/>
      <c r="R50" s="335"/>
    </row>
    <row r="51" spans="1:18" ht="50.1" customHeight="1" x14ac:dyDescent="0.35">
      <c r="A51" s="1437"/>
      <c r="B51" s="1882">
        <v>0</v>
      </c>
      <c r="C51" s="1882"/>
      <c r="D51" s="40"/>
      <c r="E51" s="40"/>
      <c r="F51" s="40"/>
      <c r="G51" s="40"/>
      <c r="H51" s="40"/>
      <c r="O51" s="499"/>
      <c r="R51" s="335"/>
    </row>
    <row r="52" spans="1:18" ht="50.1" customHeight="1" x14ac:dyDescent="0.35">
      <c r="A52" s="18"/>
      <c r="B52" s="40"/>
      <c r="C52" s="40"/>
      <c r="D52" s="40"/>
      <c r="E52" s="40"/>
      <c r="G52" s="40"/>
      <c r="H52" s="40"/>
      <c r="I52" s="40"/>
      <c r="J52" s="40"/>
      <c r="K52" s="40"/>
      <c r="L52" s="40"/>
      <c r="M52" s="40"/>
      <c r="N52" s="40"/>
      <c r="O52" s="499"/>
      <c r="R52" s="335"/>
    </row>
    <row r="53" spans="1:18" ht="30" customHeight="1" x14ac:dyDescent="0.25">
      <c r="D53" s="647"/>
      <c r="E53" s="648"/>
      <c r="F53" s="648"/>
      <c r="G53" s="648"/>
      <c r="H53" s="648"/>
      <c r="I53" s="648"/>
      <c r="J53" s="648"/>
      <c r="K53" s="648"/>
      <c r="L53" s="648"/>
      <c r="M53" s="648"/>
      <c r="N53" s="648"/>
      <c r="O53" s="499"/>
      <c r="R53" s="335"/>
    </row>
    <row r="54" spans="1:18" ht="30" customHeight="1" x14ac:dyDescent="0.25">
      <c r="D54" s="648"/>
      <c r="E54" s="648"/>
      <c r="F54" s="648"/>
      <c r="G54" s="648"/>
      <c r="H54" s="648"/>
      <c r="I54" s="648"/>
      <c r="J54" s="648"/>
      <c r="K54" s="648"/>
      <c r="L54" s="648"/>
      <c r="M54" s="648"/>
      <c r="N54" s="648"/>
      <c r="O54" s="499"/>
      <c r="R54" s="335"/>
    </row>
    <row r="55" spans="1:18" ht="15" customHeight="1" x14ac:dyDescent="0.25">
      <c r="O55" s="499"/>
      <c r="R55" s="335"/>
    </row>
    <row r="56" spans="1:18" ht="15" customHeight="1" x14ac:dyDescent="0.25">
      <c r="O56" s="499"/>
      <c r="R56" s="335"/>
    </row>
    <row r="57" spans="1:18" ht="15" customHeight="1" x14ac:dyDescent="0.25">
      <c r="O57" s="499"/>
      <c r="R57" s="335"/>
    </row>
    <row r="58" spans="1:18" ht="15" customHeight="1" x14ac:dyDescent="0.25">
      <c r="O58" s="499"/>
      <c r="R58" s="335"/>
    </row>
    <row r="59" spans="1:18" ht="15" customHeight="1" x14ac:dyDescent="0.25">
      <c r="O59" s="499"/>
      <c r="R59" s="335"/>
    </row>
    <row r="60" spans="1:18" ht="15" customHeight="1" x14ac:dyDescent="0.25">
      <c r="O60" s="499"/>
      <c r="R60" s="335"/>
    </row>
    <row r="61" spans="1:18" ht="15" customHeight="1" x14ac:dyDescent="0.25">
      <c r="O61" s="499"/>
      <c r="R61" s="335"/>
    </row>
    <row r="62" spans="1:18" ht="15" customHeight="1" x14ac:dyDescent="0.25">
      <c r="R62" s="335"/>
    </row>
    <row r="63" spans="1:18" ht="15" customHeight="1" x14ac:dyDescent="0.25">
      <c r="R63" s="335"/>
    </row>
    <row r="64" spans="1:18" ht="15" customHeight="1" x14ac:dyDescent="0.25">
      <c r="R64" s="335"/>
    </row>
    <row r="65" spans="15:18" ht="15" customHeight="1" x14ac:dyDescent="0.25">
      <c r="O65" s="499"/>
      <c r="P65" s="499"/>
      <c r="Q65" s="499"/>
      <c r="R65" s="335"/>
    </row>
    <row r="66" spans="15:18" ht="15" customHeight="1" x14ac:dyDescent="0.25">
      <c r="O66" s="499"/>
      <c r="P66" s="499"/>
      <c r="Q66" s="499"/>
      <c r="R66" s="335"/>
    </row>
    <row r="67" spans="15:18" ht="15" customHeight="1" x14ac:dyDescent="0.25">
      <c r="O67" s="499"/>
      <c r="P67" s="499"/>
      <c r="Q67" s="499"/>
      <c r="R67" s="335"/>
    </row>
    <row r="68" spans="15:18" ht="15" customHeight="1" x14ac:dyDescent="0.25">
      <c r="O68" s="499"/>
      <c r="P68" s="499"/>
      <c r="Q68" s="499"/>
      <c r="R68" s="335"/>
    </row>
    <row r="69" spans="15:18" ht="15" customHeight="1" x14ac:dyDescent="0.25">
      <c r="O69" s="499"/>
      <c r="P69" s="499"/>
      <c r="Q69" s="499"/>
      <c r="R69" s="335"/>
    </row>
    <row r="70" spans="15:18" ht="15" customHeight="1" x14ac:dyDescent="0.25">
      <c r="O70" s="499"/>
      <c r="P70" s="499"/>
      <c r="Q70" s="499"/>
      <c r="R70" s="335"/>
    </row>
    <row r="71" spans="15:18" ht="15" customHeight="1" x14ac:dyDescent="0.25">
      <c r="O71" s="499"/>
      <c r="P71" s="499"/>
      <c r="Q71" s="499"/>
      <c r="R71" s="335"/>
    </row>
    <row r="72" spans="15:18" ht="15" customHeight="1" x14ac:dyDescent="0.25">
      <c r="O72" s="499"/>
      <c r="P72" s="499"/>
      <c r="Q72" s="499"/>
      <c r="R72" s="335"/>
    </row>
    <row r="73" spans="15:18" ht="15" customHeight="1" x14ac:dyDescent="0.25">
      <c r="O73" s="470"/>
    </row>
    <row r="74" spans="15:18" ht="15" customHeight="1" x14ac:dyDescent="0.25">
      <c r="O74" s="470"/>
    </row>
    <row r="75" spans="15:18" ht="15" customHeight="1" x14ac:dyDescent="0.25">
      <c r="O75" s="470"/>
    </row>
    <row r="76" spans="15:18" ht="15" customHeight="1" x14ac:dyDescent="0.25">
      <c r="O76" s="470"/>
    </row>
    <row r="77" spans="15:18" ht="15" customHeight="1" x14ac:dyDescent="0.25">
      <c r="O77" s="470"/>
    </row>
    <row r="78" spans="15:18" ht="15" customHeight="1" x14ac:dyDescent="0.25"/>
    <row r="79" spans="15:18" ht="15" customHeight="1" x14ac:dyDescent="0.25"/>
    <row r="80" spans="15:18" ht="15" customHeight="1" x14ac:dyDescent="0.25"/>
    <row r="81" spans="16:17" ht="15" customHeight="1" x14ac:dyDescent="0.25"/>
    <row r="82" spans="16:17" ht="15" customHeight="1" x14ac:dyDescent="0.25">
      <c r="P82" s="49"/>
      <c r="Q82" s="49"/>
    </row>
    <row r="83" spans="16:17" ht="15" customHeight="1" x14ac:dyDescent="0.25">
      <c r="P83" s="49"/>
      <c r="Q83" s="49"/>
    </row>
    <row r="84" spans="16:17" ht="15" customHeight="1" x14ac:dyDescent="0.25">
      <c r="P84" s="49"/>
      <c r="Q84" s="49"/>
    </row>
    <row r="85" spans="16:17" ht="15" customHeight="1" x14ac:dyDescent="0.25">
      <c r="P85" s="49"/>
      <c r="Q85" s="49"/>
    </row>
    <row r="86" spans="16:17" ht="15" customHeight="1" x14ac:dyDescent="0.25">
      <c r="P86" s="470"/>
      <c r="Q86" s="470"/>
    </row>
    <row r="87" spans="16:17" ht="15" customHeight="1" x14ac:dyDescent="0.25">
      <c r="P87" s="470"/>
      <c r="Q87" s="470"/>
    </row>
    <row r="88" spans="16:17" ht="15" customHeight="1" x14ac:dyDescent="0.25">
      <c r="P88" s="470"/>
      <c r="Q88" s="470"/>
    </row>
    <row r="89" spans="16:17" ht="15" customHeight="1" x14ac:dyDescent="0.25"/>
    <row r="90" spans="16:17" ht="15" customHeight="1" x14ac:dyDescent="0.25"/>
    <row r="91" spans="16:17" ht="15" customHeight="1" x14ac:dyDescent="0.25">
      <c r="P91" s="470"/>
      <c r="Q91" s="470"/>
    </row>
    <row r="92" spans="16:17" ht="15" customHeight="1" x14ac:dyDescent="0.25">
      <c r="P92" s="470"/>
      <c r="Q92" s="470"/>
    </row>
    <row r="93" spans="16:17" ht="15" customHeight="1" x14ac:dyDescent="0.25"/>
    <row r="101" spans="1:14" ht="15.75" x14ac:dyDescent="0.25">
      <c r="A101" s="139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</row>
    <row r="102" spans="1:14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</sheetData>
  <mergeCells count="120">
    <mergeCell ref="F42:N42"/>
    <mergeCell ref="D35:E38"/>
    <mergeCell ref="F35:H35"/>
    <mergeCell ref="F36:H36"/>
    <mergeCell ref="F37:H37"/>
    <mergeCell ref="F38:H38"/>
    <mergeCell ref="K34:L34"/>
    <mergeCell ref="K35:L35"/>
    <mergeCell ref="K36:L36"/>
    <mergeCell ref="K37:L37"/>
    <mergeCell ref="K38:L38"/>
    <mergeCell ref="I37:J37"/>
    <mergeCell ref="I38:J38"/>
    <mergeCell ref="M35:N35"/>
    <mergeCell ref="M36:N36"/>
    <mergeCell ref="M37:N37"/>
    <mergeCell ref="M38:N38"/>
    <mergeCell ref="I34:J34"/>
    <mergeCell ref="I35:J35"/>
    <mergeCell ref="I36:J36"/>
    <mergeCell ref="F40:L41"/>
    <mergeCell ref="M40:N41"/>
    <mergeCell ref="B35:C35"/>
    <mergeCell ref="B36:C36"/>
    <mergeCell ref="B37:C37"/>
    <mergeCell ref="B38:C38"/>
    <mergeCell ref="D32:I33"/>
    <mergeCell ref="B34:C34"/>
    <mergeCell ref="D34:H34"/>
    <mergeCell ref="M34:N34"/>
    <mergeCell ref="E16:G16"/>
    <mergeCell ref="E17:G17"/>
    <mergeCell ref="E18:G18"/>
    <mergeCell ref="M14:N19"/>
    <mergeCell ref="K19:L19"/>
    <mergeCell ref="K14:L14"/>
    <mergeCell ref="K15:L15"/>
    <mergeCell ref="E19:H19"/>
    <mergeCell ref="E25:H25"/>
    <mergeCell ref="E20:G20"/>
    <mergeCell ref="E21:G21"/>
    <mergeCell ref="E22:G22"/>
    <mergeCell ref="M3:N3"/>
    <mergeCell ref="M5:N5"/>
    <mergeCell ref="M6:N6"/>
    <mergeCell ref="M7:N7"/>
    <mergeCell ref="K3:L3"/>
    <mergeCell ref="K5:L5"/>
    <mergeCell ref="K6:L6"/>
    <mergeCell ref="K7:L7"/>
    <mergeCell ref="M4:N4"/>
    <mergeCell ref="K4:L4"/>
    <mergeCell ref="A44:N44"/>
    <mergeCell ref="A5:A7"/>
    <mergeCell ref="A14:A25"/>
    <mergeCell ref="J26:J31"/>
    <mergeCell ref="A26:A31"/>
    <mergeCell ref="A10:A11"/>
    <mergeCell ref="D9:H9"/>
    <mergeCell ref="I9:J11"/>
    <mergeCell ref="K26:L26"/>
    <mergeCell ref="K27:L27"/>
    <mergeCell ref="K28:L28"/>
    <mergeCell ref="K13:L13"/>
    <mergeCell ref="I14:I25"/>
    <mergeCell ref="E15:G15"/>
    <mergeCell ref="E14:G14"/>
    <mergeCell ref="D20:D25"/>
    <mergeCell ref="M13:N13"/>
    <mergeCell ref="K17:L17"/>
    <mergeCell ref="K18:L18"/>
    <mergeCell ref="K29:L29"/>
    <mergeCell ref="K30:L30"/>
    <mergeCell ref="M10:N11"/>
    <mergeCell ref="K10:L11"/>
    <mergeCell ref="M9:N9"/>
    <mergeCell ref="K9:L9"/>
    <mergeCell ref="D13:H13"/>
    <mergeCell ref="M26:N28"/>
    <mergeCell ref="D26:D28"/>
    <mergeCell ref="D29:D31"/>
    <mergeCell ref="E29:G29"/>
    <mergeCell ref="E30:G30"/>
    <mergeCell ref="E31:G31"/>
    <mergeCell ref="D14:D19"/>
    <mergeCell ref="E23:G23"/>
    <mergeCell ref="E24:G24"/>
    <mergeCell ref="K24:L24"/>
    <mergeCell ref="K25:L25"/>
    <mergeCell ref="I26:I31"/>
    <mergeCell ref="M20:N25"/>
    <mergeCell ref="K20:L20"/>
    <mergeCell ref="K21:L21"/>
    <mergeCell ref="K22:L22"/>
    <mergeCell ref="K23:L23"/>
    <mergeCell ref="K16:L16"/>
    <mergeCell ref="A48:N48"/>
    <mergeCell ref="A50:A51"/>
    <mergeCell ref="B50:C50"/>
    <mergeCell ref="B51:C51"/>
    <mergeCell ref="A46:N46"/>
    <mergeCell ref="A47:N47"/>
    <mergeCell ref="E1:J2"/>
    <mergeCell ref="B13:C13"/>
    <mergeCell ref="B14:C31"/>
    <mergeCell ref="B5:C7"/>
    <mergeCell ref="B3:C3"/>
    <mergeCell ref="D3:H3"/>
    <mergeCell ref="B4:C4"/>
    <mergeCell ref="D4:H4"/>
    <mergeCell ref="D5:H7"/>
    <mergeCell ref="B9:C9"/>
    <mergeCell ref="E26:G26"/>
    <mergeCell ref="E27:G27"/>
    <mergeCell ref="E28:G28"/>
    <mergeCell ref="B10:C11"/>
    <mergeCell ref="J14:J25"/>
    <mergeCell ref="D10:H11"/>
    <mergeCell ref="K31:L31"/>
    <mergeCell ref="M29:N31"/>
  </mergeCells>
  <phoneticPr fontId="26" type="noConversion"/>
  <printOptions horizontalCentered="1"/>
  <pageMargins left="3.937007874015748E-2" right="3.937007874015748E-2" top="3.937007874015748E-2" bottom="3.937007874015748E-2" header="0.31496062992125984" footer="0.31496062992125984"/>
  <pageSetup paperSize="9" scale="33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G47"/>
  <sheetViews>
    <sheetView showGridLines="0" zoomScale="55" zoomScaleNormal="55" zoomScaleSheetLayoutView="40" workbookViewId="0">
      <selection activeCell="Q2" sqref="Q2"/>
    </sheetView>
  </sheetViews>
  <sheetFormatPr defaultRowHeight="20.25" x14ac:dyDescent="0.3"/>
  <cols>
    <col min="1" max="1" width="32.42578125" style="5" customWidth="1"/>
    <col min="2" max="2" width="30.7109375" style="5" customWidth="1"/>
    <col min="3" max="3" width="25.7109375" style="5" customWidth="1"/>
    <col min="4" max="4" width="17.28515625" style="5" customWidth="1"/>
    <col min="5" max="17" width="17.7109375" style="5" customWidth="1"/>
    <col min="18" max="18" width="13.85546875" style="5" hidden="1" customWidth="1"/>
    <col min="19" max="21" width="12.7109375" style="5" hidden="1" customWidth="1"/>
    <col min="22" max="22" width="14" style="5" hidden="1" customWidth="1"/>
    <col min="23" max="23" width="15.28515625" style="5" hidden="1" customWidth="1"/>
    <col min="24" max="31" width="12.7109375" style="5" hidden="1" customWidth="1"/>
    <col min="32" max="32" width="12.5703125" style="5" hidden="1" customWidth="1"/>
    <col min="33" max="33" width="12.28515625" style="5" hidden="1" customWidth="1"/>
    <col min="34" max="34" width="12.28515625" style="5" bestFit="1" customWidth="1"/>
    <col min="35" max="45" width="12.5703125" style="5" bestFit="1" customWidth="1"/>
    <col min="46" max="16384" width="9.140625" style="5"/>
  </cols>
  <sheetData>
    <row r="1" spans="1:33" ht="75.75" customHeight="1" x14ac:dyDescent="0.4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27"/>
    </row>
    <row r="2" spans="1:33" ht="33" customHeight="1" x14ac:dyDescent="0.3">
      <c r="B2" s="2092" t="s">
        <v>174</v>
      </c>
      <c r="C2" s="2092"/>
      <c r="D2" s="2092"/>
      <c r="E2" s="2092"/>
      <c r="F2" s="2092"/>
      <c r="G2" s="2092"/>
      <c r="H2" s="2092"/>
      <c r="I2" s="2092"/>
      <c r="J2" s="2092"/>
      <c r="K2" s="2092"/>
      <c r="L2" s="2092"/>
      <c r="M2" s="2092"/>
      <c r="P2" s="156" t="s">
        <v>70</v>
      </c>
      <c r="Q2" s="348">
        <f>'Панельные ограждения GL (стр.1)'!N2</f>
        <v>46197</v>
      </c>
      <c r="R2" s="391"/>
      <c r="S2" s="160"/>
    </row>
    <row r="3" spans="1:33" ht="24.95" customHeight="1" x14ac:dyDescent="0.3">
      <c r="A3" s="2069" t="s">
        <v>76</v>
      </c>
      <c r="B3" s="1430" t="s">
        <v>175</v>
      </c>
      <c r="C3" s="1430" t="s">
        <v>23</v>
      </c>
      <c r="D3" s="1430" t="s">
        <v>72</v>
      </c>
      <c r="E3" s="2081" t="s">
        <v>73</v>
      </c>
      <c r="F3" s="2081"/>
      <c r="G3" s="2081"/>
      <c r="H3" s="2081"/>
      <c r="I3" s="2081"/>
      <c r="J3" s="2081"/>
      <c r="K3" s="2081"/>
      <c r="L3" s="2081"/>
      <c r="M3" s="2081"/>
      <c r="N3" s="2081"/>
      <c r="O3" s="2081"/>
      <c r="P3" s="2081"/>
      <c r="Q3" s="2081"/>
      <c r="R3" s="247" t="s">
        <v>10</v>
      </c>
      <c r="S3" s="247"/>
      <c r="T3" s="567">
        <v>3</v>
      </c>
      <c r="U3" s="567">
        <v>3.5</v>
      </c>
      <c r="V3" s="567">
        <v>4</v>
      </c>
      <c r="W3" s="567">
        <v>4.5</v>
      </c>
      <c r="X3" s="567">
        <v>5</v>
      </c>
      <c r="Y3" s="567">
        <v>5.5</v>
      </c>
      <c r="Z3" s="567">
        <v>6</v>
      </c>
      <c r="AA3" s="567">
        <v>6.5</v>
      </c>
      <c r="AB3" s="567">
        <v>7</v>
      </c>
      <c r="AC3" s="567">
        <v>7.5</v>
      </c>
      <c r="AD3" s="567">
        <v>8</v>
      </c>
      <c r="AE3" s="567">
        <v>8.5</v>
      </c>
      <c r="AF3" s="567">
        <v>9</v>
      </c>
      <c r="AG3" s="247"/>
    </row>
    <row r="4" spans="1:33" ht="24.95" customHeight="1" x14ac:dyDescent="0.3">
      <c r="A4" s="2070"/>
      <c r="B4" s="1430"/>
      <c r="C4" s="1430"/>
      <c r="D4" s="1430"/>
      <c r="E4" s="149">
        <v>3</v>
      </c>
      <c r="F4" s="149">
        <v>3.5</v>
      </c>
      <c r="G4" s="149">
        <v>4</v>
      </c>
      <c r="H4" s="149">
        <v>4.5</v>
      </c>
      <c r="I4" s="149">
        <v>5</v>
      </c>
      <c r="J4" s="149">
        <v>5.5</v>
      </c>
      <c r="K4" s="149">
        <v>6</v>
      </c>
      <c r="L4" s="149">
        <v>6.5</v>
      </c>
      <c r="M4" s="149">
        <v>7</v>
      </c>
      <c r="N4" s="149">
        <v>7.5</v>
      </c>
      <c r="O4" s="149">
        <v>8</v>
      </c>
      <c r="P4" s="149">
        <v>8.5</v>
      </c>
      <c r="Q4" s="149">
        <v>9</v>
      </c>
      <c r="R4" s="247"/>
      <c r="S4" s="247"/>
      <c r="T4" s="568">
        <v>0</v>
      </c>
      <c r="U4" s="568">
        <v>0</v>
      </c>
      <c r="V4" s="568">
        <v>0</v>
      </c>
      <c r="W4" s="568">
        <v>0</v>
      </c>
      <c r="X4" s="568">
        <v>0</v>
      </c>
      <c r="Y4" s="568">
        <v>0</v>
      </c>
      <c r="Z4" s="568">
        <v>0</v>
      </c>
      <c r="AA4" s="568">
        <v>0.1</v>
      </c>
      <c r="AB4" s="568">
        <v>0.1</v>
      </c>
      <c r="AC4" s="568">
        <v>0.1</v>
      </c>
      <c r="AD4" s="568">
        <v>0.1</v>
      </c>
      <c r="AE4" s="568">
        <v>0.1</v>
      </c>
      <c r="AF4" s="568">
        <v>0.1</v>
      </c>
      <c r="AG4" s="247"/>
    </row>
    <row r="5" spans="1:33" ht="33" customHeight="1" x14ac:dyDescent="0.3">
      <c r="A5" s="2058"/>
      <c r="B5" s="1454" t="s">
        <v>751</v>
      </c>
      <c r="C5" s="1454" t="s">
        <v>752</v>
      </c>
      <c r="D5" s="10">
        <v>1.73</v>
      </c>
      <c r="E5" s="530" t="str">
        <f t="shared" ref="E5:Q8" si="0">IF(T5&gt;0,ROUND(T5*($R$6*(1+$AG5+T$4))*BelarusV_LFpe*(1-$E$45),2),"-")</f>
        <v>-</v>
      </c>
      <c r="F5" s="530" t="str">
        <f t="shared" si="0"/>
        <v>-</v>
      </c>
      <c r="G5" s="530">
        <f t="shared" si="0"/>
        <v>112974.02</v>
      </c>
      <c r="H5" s="530">
        <f t="shared" si="0"/>
        <v>119372.32</v>
      </c>
      <c r="I5" s="530">
        <f t="shared" si="0"/>
        <v>125782.36</v>
      </c>
      <c r="J5" s="530">
        <f t="shared" si="0"/>
        <v>132145.44</v>
      </c>
      <c r="K5" s="530">
        <f t="shared" si="0"/>
        <v>138567.22</v>
      </c>
      <c r="L5" s="530">
        <f t="shared" si="0"/>
        <v>170167.78</v>
      </c>
      <c r="M5" s="530">
        <f t="shared" si="0"/>
        <v>209264.91</v>
      </c>
      <c r="N5" s="530">
        <f t="shared" si="0"/>
        <v>230198.51</v>
      </c>
      <c r="O5" s="530">
        <f t="shared" si="0"/>
        <v>239012.31</v>
      </c>
      <c r="P5" s="530">
        <f t="shared" si="0"/>
        <v>258589.94</v>
      </c>
      <c r="Q5" s="530">
        <f t="shared" si="0"/>
        <v>267377.90999999997</v>
      </c>
      <c r="R5" s="247"/>
      <c r="S5" s="565">
        <v>1.73</v>
      </c>
      <c r="T5" s="717"/>
      <c r="U5" s="717"/>
      <c r="V5" s="717">
        <v>192.46</v>
      </c>
      <c r="W5" s="717">
        <v>203.36</v>
      </c>
      <c r="X5" s="717">
        <v>214.28</v>
      </c>
      <c r="Y5" s="717">
        <v>225.12</v>
      </c>
      <c r="Z5" s="717">
        <v>236.06</v>
      </c>
      <c r="AA5" s="717">
        <v>263.54000000000002</v>
      </c>
      <c r="AB5" s="717">
        <v>324.08999999999997</v>
      </c>
      <c r="AC5" s="717">
        <v>356.51</v>
      </c>
      <c r="AD5" s="717">
        <v>370.16</v>
      </c>
      <c r="AE5" s="717">
        <v>400.48</v>
      </c>
      <c r="AF5" s="717">
        <v>414.09</v>
      </c>
      <c r="AG5" s="569">
        <v>0</v>
      </c>
    </row>
    <row r="6" spans="1:33" ht="33" customHeight="1" x14ac:dyDescent="0.3">
      <c r="A6" s="2059"/>
      <c r="B6" s="1615"/>
      <c r="C6" s="1615"/>
      <c r="D6" s="718">
        <v>2.0299999999999998</v>
      </c>
      <c r="E6" s="719">
        <f t="shared" si="0"/>
        <v>87598.01</v>
      </c>
      <c r="F6" s="719">
        <f t="shared" si="0"/>
        <v>92323.36</v>
      </c>
      <c r="G6" s="719">
        <f t="shared" si="0"/>
        <v>122495.16</v>
      </c>
      <c r="H6" s="719">
        <f t="shared" si="0"/>
        <v>129251.53</v>
      </c>
      <c r="I6" s="719">
        <f t="shared" si="0"/>
        <v>136007.9</v>
      </c>
      <c r="J6" s="719">
        <f t="shared" si="0"/>
        <v>142729.04999999999</v>
      </c>
      <c r="K6" s="719">
        <f t="shared" si="0"/>
        <v>149497.16</v>
      </c>
      <c r="L6" s="719">
        <f t="shared" si="0"/>
        <v>184476.49</v>
      </c>
      <c r="M6" s="719">
        <f t="shared" si="0"/>
        <v>223961.05</v>
      </c>
      <c r="N6" s="719">
        <f t="shared" si="0"/>
        <v>245198.12</v>
      </c>
      <c r="O6" s="719">
        <f t="shared" si="0"/>
        <v>254399.34</v>
      </c>
      <c r="P6" s="719">
        <f t="shared" si="0"/>
        <v>276262.75</v>
      </c>
      <c r="Q6" s="719">
        <f t="shared" si="0"/>
        <v>285457.51</v>
      </c>
      <c r="R6" s="572">
        <v>587</v>
      </c>
      <c r="S6" s="565">
        <v>2.0299999999999998</v>
      </c>
      <c r="T6" s="311">
        <v>149.22999999999999</v>
      </c>
      <c r="U6" s="311">
        <v>157.28</v>
      </c>
      <c r="V6" s="311">
        <v>208.68</v>
      </c>
      <c r="W6" s="311">
        <v>220.19</v>
      </c>
      <c r="X6" s="311">
        <v>231.7</v>
      </c>
      <c r="Y6" s="311">
        <v>243.15</v>
      </c>
      <c r="Z6" s="311">
        <v>254.68</v>
      </c>
      <c r="AA6" s="311">
        <v>285.7</v>
      </c>
      <c r="AB6" s="311">
        <v>346.85</v>
      </c>
      <c r="AC6" s="311">
        <v>379.74</v>
      </c>
      <c r="AD6" s="311">
        <v>393.99</v>
      </c>
      <c r="AE6" s="311">
        <v>427.85</v>
      </c>
      <c r="AF6" s="311">
        <v>442.09</v>
      </c>
      <c r="AG6" s="569">
        <v>0</v>
      </c>
    </row>
    <row r="7" spans="1:33" ht="33" customHeight="1" x14ac:dyDescent="0.3">
      <c r="A7" s="2059"/>
      <c r="B7" s="1615"/>
      <c r="C7" s="1615"/>
      <c r="D7" s="150">
        <v>2.23</v>
      </c>
      <c r="E7" s="531" t="str">
        <f t="shared" si="0"/>
        <v>-</v>
      </c>
      <c r="F7" s="531" t="str">
        <f t="shared" si="0"/>
        <v>-</v>
      </c>
      <c r="G7" s="531">
        <f t="shared" si="0"/>
        <v>130472.49</v>
      </c>
      <c r="H7" s="531">
        <f t="shared" si="0"/>
        <v>137628.01999999999</v>
      </c>
      <c r="I7" s="531">
        <f t="shared" si="0"/>
        <v>144818.76999999999</v>
      </c>
      <c r="J7" s="531">
        <f t="shared" si="0"/>
        <v>151944.95000000001</v>
      </c>
      <c r="K7" s="531">
        <f t="shared" si="0"/>
        <v>159147.44</v>
      </c>
      <c r="L7" s="531">
        <f t="shared" si="0"/>
        <v>196899.76</v>
      </c>
      <c r="M7" s="531">
        <f t="shared" si="0"/>
        <v>236855.67</v>
      </c>
      <c r="N7" s="531">
        <f t="shared" si="0"/>
        <v>258460.79999999999</v>
      </c>
      <c r="O7" s="531">
        <f t="shared" si="0"/>
        <v>268133.38</v>
      </c>
      <c r="P7" s="531">
        <f t="shared" si="0"/>
        <v>291791.83</v>
      </c>
      <c r="Q7" s="531">
        <f t="shared" si="0"/>
        <v>301432.13</v>
      </c>
      <c r="R7" s="573"/>
      <c r="S7" s="565">
        <v>2.23</v>
      </c>
      <c r="T7" s="311"/>
      <c r="U7" s="311"/>
      <c r="V7" s="311">
        <v>222.27</v>
      </c>
      <c r="W7" s="311">
        <v>234.46</v>
      </c>
      <c r="X7" s="311">
        <v>246.71</v>
      </c>
      <c r="Y7" s="311">
        <v>258.85000000000002</v>
      </c>
      <c r="Z7" s="311">
        <v>271.12</v>
      </c>
      <c r="AA7" s="311">
        <v>304.94</v>
      </c>
      <c r="AB7" s="311">
        <v>366.82</v>
      </c>
      <c r="AC7" s="311">
        <v>400.28</v>
      </c>
      <c r="AD7" s="311">
        <v>415.26</v>
      </c>
      <c r="AE7" s="311">
        <v>451.9</v>
      </c>
      <c r="AF7" s="311">
        <v>466.83</v>
      </c>
      <c r="AG7" s="569">
        <v>0</v>
      </c>
    </row>
    <row r="8" spans="1:33" ht="33" customHeight="1" x14ac:dyDescent="0.3">
      <c r="A8" s="2060"/>
      <c r="B8" s="1455"/>
      <c r="C8" s="1455"/>
      <c r="D8" s="11">
        <v>2.4300000000000002</v>
      </c>
      <c r="E8" s="532">
        <f t="shared" si="0"/>
        <v>98093.57</v>
      </c>
      <c r="F8" s="532">
        <f t="shared" si="0"/>
        <v>103176.99</v>
      </c>
      <c r="G8" s="532">
        <f t="shared" si="0"/>
        <v>134910.21</v>
      </c>
      <c r="H8" s="532">
        <f t="shared" si="0"/>
        <v>142077.48000000001</v>
      </c>
      <c r="I8" s="532">
        <f t="shared" si="0"/>
        <v>149262.35999999999</v>
      </c>
      <c r="J8" s="532">
        <f t="shared" si="0"/>
        <v>156394.41</v>
      </c>
      <c r="K8" s="532">
        <f t="shared" si="0"/>
        <v>163591.03</v>
      </c>
      <c r="L8" s="532">
        <f t="shared" si="0"/>
        <v>202988.71</v>
      </c>
      <c r="M8" s="532">
        <f t="shared" si="0"/>
        <v>242925.25</v>
      </c>
      <c r="N8" s="532">
        <f t="shared" si="0"/>
        <v>264491.63</v>
      </c>
      <c r="O8" s="532">
        <f t="shared" si="0"/>
        <v>274157.76</v>
      </c>
      <c r="P8" s="532">
        <f t="shared" si="0"/>
        <v>299023.67</v>
      </c>
      <c r="Q8" s="532">
        <f t="shared" si="0"/>
        <v>308663.96999999997</v>
      </c>
      <c r="R8" s="573"/>
      <c r="S8" s="565">
        <v>2.4300000000000002</v>
      </c>
      <c r="T8" s="312">
        <v>167.11</v>
      </c>
      <c r="U8" s="312">
        <v>175.77</v>
      </c>
      <c r="V8" s="312">
        <v>229.83</v>
      </c>
      <c r="W8" s="312">
        <v>242.04</v>
      </c>
      <c r="X8" s="312">
        <v>254.28</v>
      </c>
      <c r="Y8" s="312">
        <v>266.43</v>
      </c>
      <c r="Z8" s="312">
        <v>278.69</v>
      </c>
      <c r="AA8" s="312">
        <v>314.37</v>
      </c>
      <c r="AB8" s="312">
        <v>376.22</v>
      </c>
      <c r="AC8" s="312">
        <v>409.62</v>
      </c>
      <c r="AD8" s="312">
        <v>424.59</v>
      </c>
      <c r="AE8" s="312">
        <v>463.1</v>
      </c>
      <c r="AF8" s="312">
        <v>478.03</v>
      </c>
      <c r="AG8" s="570">
        <v>0</v>
      </c>
    </row>
    <row r="9" spans="1:33" ht="33" customHeight="1" x14ac:dyDescent="0.3">
      <c r="A9" s="2089"/>
      <c r="B9" s="2090" t="s">
        <v>21</v>
      </c>
      <c r="C9" s="1454" t="s">
        <v>24</v>
      </c>
      <c r="D9" s="10">
        <v>2.0299999999999998</v>
      </c>
      <c r="E9" s="530">
        <f t="shared" ref="E9:Q11" si="1">IF(T9&gt;0,ROUND(T9*($R$9*(1+$AG9+T$4))*BelarusV_LFpe*(1-$E$45),2),"-")</f>
        <v>101549.03</v>
      </c>
      <c r="F9" s="530">
        <f t="shared" si="1"/>
        <v>108097.44</v>
      </c>
      <c r="G9" s="530">
        <f t="shared" si="1"/>
        <v>135783.78</v>
      </c>
      <c r="H9" s="530">
        <f t="shared" si="1"/>
        <v>143630.19</v>
      </c>
      <c r="I9" s="530">
        <f t="shared" si="1"/>
        <v>151489.57999999999</v>
      </c>
      <c r="J9" s="530">
        <f t="shared" si="1"/>
        <v>159335.99</v>
      </c>
      <c r="K9" s="530">
        <f t="shared" si="1"/>
        <v>167214.85</v>
      </c>
      <c r="L9" s="530">
        <f t="shared" si="1"/>
        <v>204882.16</v>
      </c>
      <c r="M9" s="530">
        <f t="shared" si="1"/>
        <v>248965.49</v>
      </c>
      <c r="N9" s="530">
        <f t="shared" si="1"/>
        <v>272866.86</v>
      </c>
      <c r="O9" s="530">
        <f t="shared" si="1"/>
        <v>283468.27</v>
      </c>
      <c r="P9" s="530">
        <f t="shared" si="1"/>
        <v>306470.13</v>
      </c>
      <c r="Q9" s="530">
        <f t="shared" si="1"/>
        <v>317050.13</v>
      </c>
      <c r="R9" s="572">
        <v>649</v>
      </c>
      <c r="S9" s="565">
        <v>2.0299999999999998</v>
      </c>
      <c r="T9" s="310">
        <v>156.47</v>
      </c>
      <c r="U9" s="310">
        <v>166.56</v>
      </c>
      <c r="V9" s="310">
        <v>209.22</v>
      </c>
      <c r="W9" s="310">
        <v>221.31</v>
      </c>
      <c r="X9" s="310">
        <v>233.42</v>
      </c>
      <c r="Y9" s="310">
        <v>245.51</v>
      </c>
      <c r="Z9" s="310">
        <v>257.64999999999998</v>
      </c>
      <c r="AA9" s="310">
        <v>286.99</v>
      </c>
      <c r="AB9" s="310">
        <v>348.74</v>
      </c>
      <c r="AC9" s="310">
        <v>382.22</v>
      </c>
      <c r="AD9" s="310">
        <v>397.07</v>
      </c>
      <c r="AE9" s="310">
        <v>429.29</v>
      </c>
      <c r="AF9" s="310">
        <v>444.11</v>
      </c>
      <c r="AG9" s="569">
        <v>0</v>
      </c>
    </row>
    <row r="10" spans="1:33" ht="33" customHeight="1" x14ac:dyDescent="0.3">
      <c r="A10" s="2089"/>
      <c r="B10" s="2091"/>
      <c r="C10" s="1615"/>
      <c r="D10" s="150">
        <v>2.23</v>
      </c>
      <c r="E10" s="531" t="str">
        <f t="shared" si="1"/>
        <v>-</v>
      </c>
      <c r="F10" s="531" t="str">
        <f t="shared" si="1"/>
        <v>-</v>
      </c>
      <c r="G10" s="531">
        <f t="shared" si="1"/>
        <v>143357.60999999999</v>
      </c>
      <c r="H10" s="531">
        <f t="shared" si="1"/>
        <v>151573.95000000001</v>
      </c>
      <c r="I10" s="531">
        <f t="shared" si="1"/>
        <v>159816.25</v>
      </c>
      <c r="J10" s="531">
        <f t="shared" si="1"/>
        <v>168026.1</v>
      </c>
      <c r="K10" s="531">
        <f t="shared" si="1"/>
        <v>176281.38</v>
      </c>
      <c r="L10" s="531">
        <f t="shared" si="1"/>
        <v>216454.48</v>
      </c>
      <c r="M10" s="531">
        <f t="shared" si="1"/>
        <v>260959.01</v>
      </c>
      <c r="N10" s="531">
        <f t="shared" si="1"/>
        <v>285174.49</v>
      </c>
      <c r="O10" s="531">
        <f t="shared" si="1"/>
        <v>296189.96999999997</v>
      </c>
      <c r="P10" s="531">
        <f t="shared" si="1"/>
        <v>320798.09999999998</v>
      </c>
      <c r="Q10" s="531">
        <f t="shared" si="1"/>
        <v>331777.89</v>
      </c>
      <c r="R10" s="573"/>
      <c r="S10" s="565">
        <v>2.23</v>
      </c>
      <c r="T10" s="311"/>
      <c r="U10" s="311"/>
      <c r="V10" s="311">
        <v>220.89</v>
      </c>
      <c r="W10" s="311">
        <v>233.55</v>
      </c>
      <c r="X10" s="311">
        <v>246.25</v>
      </c>
      <c r="Y10" s="311">
        <v>258.89999999999998</v>
      </c>
      <c r="Z10" s="311">
        <v>271.62</v>
      </c>
      <c r="AA10" s="311">
        <v>303.2</v>
      </c>
      <c r="AB10" s="311">
        <v>365.54</v>
      </c>
      <c r="AC10" s="311">
        <v>399.46</v>
      </c>
      <c r="AD10" s="311">
        <v>414.89</v>
      </c>
      <c r="AE10" s="311">
        <v>449.36</v>
      </c>
      <c r="AF10" s="311">
        <v>464.74</v>
      </c>
      <c r="AG10" s="569">
        <v>0</v>
      </c>
    </row>
    <row r="11" spans="1:33" ht="33" customHeight="1" x14ac:dyDescent="0.3">
      <c r="A11" s="2089"/>
      <c r="B11" s="2091"/>
      <c r="C11" s="1455"/>
      <c r="D11" s="11">
        <v>2.4300000000000002</v>
      </c>
      <c r="E11" s="532" t="str">
        <f t="shared" si="1"/>
        <v>-</v>
      </c>
      <c r="F11" s="532" t="str">
        <f t="shared" si="1"/>
        <v>-</v>
      </c>
      <c r="G11" s="532">
        <f t="shared" si="1"/>
        <v>150898.99</v>
      </c>
      <c r="H11" s="532">
        <f t="shared" si="1"/>
        <v>159485.26</v>
      </c>
      <c r="I11" s="532">
        <f t="shared" si="1"/>
        <v>168110.47</v>
      </c>
      <c r="J11" s="532">
        <f t="shared" si="1"/>
        <v>176690.25</v>
      </c>
      <c r="K11" s="532">
        <f t="shared" si="1"/>
        <v>185328.44</v>
      </c>
      <c r="L11" s="532">
        <f t="shared" si="1"/>
        <v>227976.83</v>
      </c>
      <c r="M11" s="532">
        <f t="shared" si="1"/>
        <v>272874</v>
      </c>
      <c r="N11" s="532">
        <f t="shared" si="1"/>
        <v>297439.3</v>
      </c>
      <c r="O11" s="532">
        <f t="shared" si="1"/>
        <v>308875.96999999997</v>
      </c>
      <c r="P11" s="532">
        <f t="shared" si="1"/>
        <v>335061.83</v>
      </c>
      <c r="Q11" s="532">
        <f t="shared" si="1"/>
        <v>346469.95</v>
      </c>
      <c r="R11" s="574"/>
      <c r="S11" s="565">
        <v>2.4300000000000002</v>
      </c>
      <c r="T11" s="312"/>
      <c r="U11" s="312"/>
      <c r="V11" s="312">
        <v>232.51</v>
      </c>
      <c r="W11" s="312">
        <v>245.74</v>
      </c>
      <c r="X11" s="312">
        <v>259.02999999999997</v>
      </c>
      <c r="Y11" s="312">
        <v>272.25</v>
      </c>
      <c r="Z11" s="312">
        <v>285.56</v>
      </c>
      <c r="AA11" s="312">
        <v>319.33999999999997</v>
      </c>
      <c r="AB11" s="312">
        <v>382.23</v>
      </c>
      <c r="AC11" s="312">
        <v>416.64</v>
      </c>
      <c r="AD11" s="312">
        <v>432.66</v>
      </c>
      <c r="AE11" s="312">
        <v>469.34</v>
      </c>
      <c r="AF11" s="312">
        <v>485.32</v>
      </c>
      <c r="AG11" s="570">
        <v>0</v>
      </c>
    </row>
    <row r="12" spans="1:33" ht="54.95" customHeight="1" x14ac:dyDescent="0.3">
      <c r="A12" s="2087"/>
      <c r="B12" s="761" t="s">
        <v>490</v>
      </c>
      <c r="C12" s="761" t="s">
        <v>0</v>
      </c>
      <c r="D12" s="1292">
        <v>1.73</v>
      </c>
      <c r="E12" s="1293" t="s">
        <v>498</v>
      </c>
      <c r="F12" s="978">
        <f t="shared" ref="F12:Q13" si="2">IF(U12&gt;0,ROUND(U12*($R$12*(1+$AG12+U$4))*BelarusV*(1-$E$45),2),"-")</f>
        <v>76673.94</v>
      </c>
      <c r="G12" s="978">
        <f t="shared" si="2"/>
        <v>95692.74</v>
      </c>
      <c r="H12" s="978">
        <f t="shared" si="2"/>
        <v>100212.64</v>
      </c>
      <c r="I12" s="978">
        <f t="shared" si="2"/>
        <v>104750.15</v>
      </c>
      <c r="J12" s="978">
        <f t="shared" si="2"/>
        <v>109258.31</v>
      </c>
      <c r="K12" s="978">
        <f t="shared" si="2"/>
        <v>113801.69</v>
      </c>
      <c r="L12" s="978">
        <f t="shared" si="2"/>
        <v>139606.79999999999</v>
      </c>
      <c r="M12" s="978">
        <f t="shared" si="2"/>
        <v>176644.15</v>
      </c>
      <c r="N12" s="978">
        <f t="shared" si="2"/>
        <v>195511.5</v>
      </c>
      <c r="O12" s="978">
        <f t="shared" si="2"/>
        <v>202271.98</v>
      </c>
      <c r="P12" s="978" t="str">
        <f t="shared" si="2"/>
        <v>-</v>
      </c>
      <c r="Q12" s="978" t="str">
        <f t="shared" si="2"/>
        <v>-</v>
      </c>
      <c r="R12" s="572">
        <v>587</v>
      </c>
      <c r="S12" s="566">
        <v>1.73</v>
      </c>
      <c r="T12" s="314"/>
      <c r="U12" s="314">
        <v>130.62</v>
      </c>
      <c r="V12" s="314">
        <v>163.02000000000001</v>
      </c>
      <c r="W12" s="314">
        <v>170.72</v>
      </c>
      <c r="X12" s="314">
        <v>178.45</v>
      </c>
      <c r="Y12" s="314">
        <v>186.13</v>
      </c>
      <c r="Z12" s="314">
        <v>193.87</v>
      </c>
      <c r="AA12" s="314">
        <v>216.21</v>
      </c>
      <c r="AB12" s="314">
        <v>273.57</v>
      </c>
      <c r="AC12" s="314">
        <v>302.79000000000002</v>
      </c>
      <c r="AD12" s="314">
        <v>313.26</v>
      </c>
      <c r="AE12" s="314"/>
      <c r="AF12" s="314"/>
      <c r="AG12" s="1291">
        <v>0</v>
      </c>
    </row>
    <row r="13" spans="1:33" ht="60" customHeight="1" x14ac:dyDescent="0.3">
      <c r="A13" s="2088"/>
      <c r="B13" s="2083" t="s">
        <v>497</v>
      </c>
      <c r="C13" s="2083"/>
      <c r="D13" s="1298">
        <v>2.0299999999999998</v>
      </c>
      <c r="E13" s="1294" t="s">
        <v>498</v>
      </c>
      <c r="F13" s="982">
        <f t="shared" si="2"/>
        <v>81598.87</v>
      </c>
      <c r="G13" s="982">
        <f t="shared" si="2"/>
        <v>100476.79</v>
      </c>
      <c r="H13" s="982">
        <f t="shared" si="2"/>
        <v>104973.21</v>
      </c>
      <c r="I13" s="982">
        <f t="shared" si="2"/>
        <v>109510.72</v>
      </c>
      <c r="J13" s="982">
        <f t="shared" si="2"/>
        <v>113995.4</v>
      </c>
      <c r="K13" s="982">
        <f t="shared" si="2"/>
        <v>118538.78</v>
      </c>
      <c r="L13" s="982">
        <f t="shared" si="2"/>
        <v>146057.34</v>
      </c>
      <c r="M13" s="982">
        <f t="shared" si="2"/>
        <v>183094.69</v>
      </c>
      <c r="N13" s="982">
        <f t="shared" si="2"/>
        <v>201865.19</v>
      </c>
      <c r="O13" s="982">
        <f t="shared" si="2"/>
        <v>208619.21</v>
      </c>
      <c r="P13" s="982">
        <f t="shared" si="2"/>
        <v>226124.14</v>
      </c>
      <c r="Q13" s="982">
        <f t="shared" si="2"/>
        <v>232839.42</v>
      </c>
      <c r="R13" s="572"/>
      <c r="S13" s="566">
        <v>2.0299999999999998</v>
      </c>
      <c r="T13" s="314"/>
      <c r="U13" s="314">
        <v>139.01</v>
      </c>
      <c r="V13" s="314">
        <v>171.17</v>
      </c>
      <c r="W13" s="314">
        <v>178.83</v>
      </c>
      <c r="X13" s="314">
        <v>186.56</v>
      </c>
      <c r="Y13" s="314">
        <v>194.2</v>
      </c>
      <c r="Z13" s="314">
        <v>201.94</v>
      </c>
      <c r="AA13" s="314">
        <v>226.2</v>
      </c>
      <c r="AB13" s="314">
        <v>283.56</v>
      </c>
      <c r="AC13" s="314">
        <v>312.63</v>
      </c>
      <c r="AD13" s="314">
        <v>323.08999999999997</v>
      </c>
      <c r="AE13" s="314">
        <v>350.2</v>
      </c>
      <c r="AF13" s="314">
        <v>360.6</v>
      </c>
      <c r="AG13" s="570">
        <v>0</v>
      </c>
    </row>
    <row r="14" spans="1:33" ht="27" customHeight="1" x14ac:dyDescent="0.3">
      <c r="A14" s="2084" t="s">
        <v>753</v>
      </c>
      <c r="B14" s="2085"/>
      <c r="C14" s="2085"/>
      <c r="D14" s="2085"/>
      <c r="E14" s="2085"/>
      <c r="F14" s="2085"/>
      <c r="G14" s="2085"/>
      <c r="H14" s="2085"/>
      <c r="I14" s="2085"/>
      <c r="J14" s="2085"/>
      <c r="K14" s="2085"/>
      <c r="L14" s="2085"/>
      <c r="M14" s="2085"/>
      <c r="N14" s="2085"/>
      <c r="O14" s="2085"/>
      <c r="P14" s="2085"/>
      <c r="Q14" s="2086"/>
      <c r="R14" s="572"/>
      <c r="S14" s="566"/>
      <c r="T14" s="646"/>
      <c r="U14" s="646"/>
      <c r="V14" s="646"/>
      <c r="W14" s="646"/>
      <c r="X14" s="646"/>
      <c r="Y14" s="646"/>
      <c r="Z14" s="646"/>
      <c r="AA14" s="646"/>
      <c r="AB14" s="646"/>
      <c r="AC14" s="646"/>
      <c r="AD14" s="646"/>
      <c r="AE14" s="646"/>
      <c r="AF14" s="646"/>
      <c r="AG14" s="569"/>
    </row>
    <row r="15" spans="1:33" ht="33" customHeight="1" x14ac:dyDescent="0.3">
      <c r="A15" s="270" t="s">
        <v>254</v>
      </c>
      <c r="R15" s="247"/>
      <c r="S15" s="247"/>
    </row>
    <row r="16" spans="1:33" ht="15" customHeight="1" x14ac:dyDescent="0.3">
      <c r="A16" s="270"/>
      <c r="R16" s="247"/>
      <c r="S16" s="247"/>
    </row>
    <row r="17" spans="1:33" ht="24.95" customHeight="1" x14ac:dyDescent="0.4">
      <c r="A17" s="1430" t="s">
        <v>76</v>
      </c>
      <c r="B17" s="2069" t="s">
        <v>22</v>
      </c>
      <c r="C17" s="2069" t="s">
        <v>23</v>
      </c>
      <c r="D17" s="2069" t="s">
        <v>72</v>
      </c>
      <c r="E17" s="2081" t="s">
        <v>73</v>
      </c>
      <c r="F17" s="2081"/>
      <c r="H17" s="399"/>
      <c r="I17" s="2081" t="s">
        <v>19</v>
      </c>
      <c r="J17" s="2081"/>
      <c r="K17" s="2081"/>
      <c r="L17" s="2081"/>
      <c r="M17" s="2081"/>
      <c r="N17" s="2081"/>
      <c r="O17" s="2081"/>
      <c r="P17" s="2081"/>
      <c r="Q17" s="2081"/>
      <c r="R17" s="248"/>
      <c r="S17" s="247"/>
    </row>
    <row r="18" spans="1:33" ht="24.95" customHeight="1" x14ac:dyDescent="0.4">
      <c r="A18" s="1430"/>
      <c r="B18" s="2070"/>
      <c r="C18" s="2070"/>
      <c r="D18" s="2070"/>
      <c r="E18" s="149">
        <v>3.5</v>
      </c>
      <c r="F18" s="149">
        <v>4.5</v>
      </c>
      <c r="H18" s="399"/>
      <c r="I18" s="2082" t="s">
        <v>749</v>
      </c>
      <c r="J18" s="2082"/>
      <c r="K18" s="2082"/>
      <c r="L18" s="2082"/>
      <c r="M18" s="2082"/>
      <c r="N18" s="2082"/>
      <c r="O18" s="2082"/>
      <c r="P18" s="2082"/>
      <c r="Q18" s="2082"/>
      <c r="R18" s="248"/>
      <c r="S18" s="247"/>
      <c r="T18" s="496"/>
      <c r="U18" s="1303"/>
    </row>
    <row r="19" spans="1:33" ht="33" customHeight="1" x14ac:dyDescent="0.3">
      <c r="A19" s="2078"/>
      <c r="B19" s="10" t="s">
        <v>428</v>
      </c>
      <c r="C19" s="2061" t="s">
        <v>345</v>
      </c>
      <c r="D19" s="151">
        <v>2</v>
      </c>
      <c r="E19" s="530">
        <f t="shared" ref="E19:F21" si="3">ROUND(R19*BelarusV*(1-$G$45),0)</f>
        <v>106618</v>
      </c>
      <c r="F19" s="530">
        <f>ROUND(S19*BelarusV*(1-$G$45),0)</f>
        <v>122843</v>
      </c>
      <c r="H19" s="16"/>
      <c r="I19" s="2082"/>
      <c r="J19" s="2082"/>
      <c r="K19" s="2082"/>
      <c r="L19" s="2082"/>
      <c r="M19" s="2082"/>
      <c r="N19" s="2082"/>
      <c r="O19" s="2082"/>
      <c r="P19" s="2082"/>
      <c r="Q19" s="2082"/>
      <c r="R19" s="315">
        <v>106618</v>
      </c>
      <c r="S19" s="315">
        <v>122843</v>
      </c>
    </row>
    <row r="20" spans="1:33" ht="33" customHeight="1" x14ac:dyDescent="0.3">
      <c r="A20" s="2078"/>
      <c r="B20" s="2079" t="s">
        <v>429</v>
      </c>
      <c r="C20" s="1615"/>
      <c r="D20" s="152">
        <v>2</v>
      </c>
      <c r="E20" s="531">
        <f t="shared" si="3"/>
        <v>121585</v>
      </c>
      <c r="F20" s="531">
        <f t="shared" si="3"/>
        <v>140274</v>
      </c>
      <c r="H20" s="16"/>
      <c r="I20" s="2082"/>
      <c r="J20" s="2082"/>
      <c r="K20" s="2082"/>
      <c r="L20" s="2082"/>
      <c r="M20" s="2082"/>
      <c r="N20" s="2082"/>
      <c r="O20" s="2082"/>
      <c r="P20" s="2082"/>
      <c r="Q20" s="2082"/>
      <c r="R20" s="315">
        <v>121585</v>
      </c>
      <c r="S20" s="315">
        <v>140274</v>
      </c>
    </row>
    <row r="21" spans="1:33" ht="33" customHeight="1" x14ac:dyDescent="0.3">
      <c r="A21" s="2078"/>
      <c r="B21" s="2080"/>
      <c r="C21" s="2063"/>
      <c r="D21" s="153">
        <v>2.4</v>
      </c>
      <c r="E21" s="532">
        <f t="shared" si="3"/>
        <v>135740</v>
      </c>
      <c r="F21" s="532">
        <f t="shared" si="3"/>
        <v>156395</v>
      </c>
      <c r="H21" s="16"/>
      <c r="I21" s="2082"/>
      <c r="J21" s="2082"/>
      <c r="K21" s="2082"/>
      <c r="L21" s="2082"/>
      <c r="M21" s="2082"/>
      <c r="N21" s="2082"/>
      <c r="O21" s="2082"/>
      <c r="P21" s="2082"/>
      <c r="Q21" s="2082"/>
      <c r="R21" s="315">
        <v>135740</v>
      </c>
      <c r="S21" s="315">
        <v>156395</v>
      </c>
    </row>
    <row r="22" spans="1:33" ht="15" customHeight="1" x14ac:dyDescent="0.4">
      <c r="A22" s="95"/>
      <c r="B22" s="95"/>
      <c r="C22" s="95"/>
      <c r="D22" s="95"/>
      <c r="E22" s="102"/>
      <c r="F22" s="102"/>
      <c r="G22" s="102"/>
      <c r="H22" s="102"/>
      <c r="I22" s="2082"/>
      <c r="J22" s="2082"/>
      <c r="K22" s="2082"/>
      <c r="L22" s="2082"/>
      <c r="M22" s="2082"/>
      <c r="N22" s="2082"/>
      <c r="O22" s="2082"/>
      <c r="P22" s="2082"/>
      <c r="Q22" s="2082"/>
      <c r="R22" s="249"/>
      <c r="S22" s="247"/>
      <c r="V22" s="313"/>
    </row>
    <row r="23" spans="1:33" ht="15" customHeight="1" x14ac:dyDescent="0.4">
      <c r="A23" s="95"/>
      <c r="B23" s="95"/>
      <c r="C23" s="95"/>
      <c r="D23" s="95"/>
      <c r="E23" s="102"/>
      <c r="F23" s="102"/>
      <c r="G23" s="102"/>
      <c r="H23" s="102"/>
      <c r="I23" s="871"/>
      <c r="J23" s="871"/>
      <c r="K23" s="871"/>
      <c r="L23" s="871"/>
      <c r="M23" s="871"/>
      <c r="N23" s="871"/>
      <c r="O23" s="871"/>
      <c r="P23" s="871"/>
      <c r="Q23" s="871"/>
      <c r="R23" s="249"/>
      <c r="S23" s="247"/>
      <c r="V23" s="313"/>
    </row>
    <row r="24" spans="1:33" ht="24.95" customHeight="1" x14ac:dyDescent="0.4">
      <c r="A24" s="2069" t="s">
        <v>76</v>
      </c>
      <c r="B24" s="1430" t="s">
        <v>175</v>
      </c>
      <c r="C24" s="1430" t="s">
        <v>23</v>
      </c>
      <c r="D24" s="1430" t="s">
        <v>72</v>
      </c>
      <c r="E24" s="2081" t="s">
        <v>73</v>
      </c>
      <c r="F24" s="2081"/>
      <c r="G24" s="102"/>
      <c r="H24" s="876"/>
      <c r="I24" s="2081" t="s">
        <v>747</v>
      </c>
      <c r="J24" s="2081"/>
      <c r="K24" s="2081"/>
      <c r="L24" s="2081"/>
      <c r="M24" s="2081"/>
      <c r="N24" s="2081"/>
      <c r="O24" s="2081"/>
      <c r="P24" s="2081"/>
      <c r="Q24" s="2081"/>
      <c r="R24" s="249"/>
      <c r="S24" s="247"/>
      <c r="T24" s="567">
        <v>3</v>
      </c>
      <c r="U24" s="567">
        <v>3.5</v>
      </c>
      <c r="V24" s="567">
        <v>4</v>
      </c>
      <c r="W24" s="567">
        <v>4.5</v>
      </c>
      <c r="X24" s="567">
        <v>5</v>
      </c>
      <c r="Y24" s="567">
        <v>5.5</v>
      </c>
      <c r="Z24" s="567">
        <v>6</v>
      </c>
      <c r="AA24" s="567">
        <v>6.5</v>
      </c>
      <c r="AB24" s="567">
        <v>7</v>
      </c>
      <c r="AC24" s="567">
        <v>7.5</v>
      </c>
      <c r="AD24" s="567">
        <v>8</v>
      </c>
      <c r="AE24" s="567">
        <v>8.5</v>
      </c>
      <c r="AF24" s="567">
        <v>9</v>
      </c>
      <c r="AG24" s="247"/>
    </row>
    <row r="25" spans="1:33" ht="24.95" customHeight="1" x14ac:dyDescent="0.4">
      <c r="A25" s="2070"/>
      <c r="B25" s="1430"/>
      <c r="C25" s="1430"/>
      <c r="D25" s="1430"/>
      <c r="E25" s="874">
        <v>4</v>
      </c>
      <c r="F25" s="874">
        <v>6</v>
      </c>
      <c r="G25" s="102"/>
      <c r="H25" s="102"/>
      <c r="I25" s="2082" t="s">
        <v>748</v>
      </c>
      <c r="J25" s="2082"/>
      <c r="K25" s="2082"/>
      <c r="L25" s="2082"/>
      <c r="M25" s="2082"/>
      <c r="N25" s="2082"/>
      <c r="O25" s="2082"/>
      <c r="P25" s="2082"/>
      <c r="Q25" s="2082"/>
      <c r="R25" s="249"/>
      <c r="S25" s="247"/>
      <c r="T25" s="568">
        <v>0</v>
      </c>
      <c r="U25" s="568">
        <v>0</v>
      </c>
      <c r="V25" s="568">
        <v>0</v>
      </c>
      <c r="W25" s="568">
        <v>0</v>
      </c>
      <c r="X25" s="568">
        <v>0</v>
      </c>
      <c r="Y25" s="568">
        <v>0</v>
      </c>
      <c r="Z25" s="568">
        <v>0</v>
      </c>
      <c r="AA25" s="568">
        <v>0.1</v>
      </c>
      <c r="AB25" s="568">
        <v>0.1</v>
      </c>
      <c r="AC25" s="568">
        <v>0.1</v>
      </c>
      <c r="AD25" s="568">
        <v>0.1</v>
      </c>
      <c r="AE25" s="568">
        <v>0.1</v>
      </c>
      <c r="AF25" s="568">
        <v>0.1</v>
      </c>
      <c r="AG25" s="247"/>
    </row>
    <row r="26" spans="1:33" ht="99.95" customHeight="1" x14ac:dyDescent="0.3">
      <c r="A26" s="318"/>
      <c r="B26" s="872" t="s">
        <v>746</v>
      </c>
      <c r="C26" s="873" t="s">
        <v>267</v>
      </c>
      <c r="D26" s="761">
        <v>2.0299999999999998</v>
      </c>
      <c r="E26" s="875">
        <f>IF(V26&gt;0,ROUND(V26*($R$26*(1+$AG26+V$25))*BelarusV_LFpe*(1-$E$45),2),"-")</f>
        <v>92890.98</v>
      </c>
      <c r="F26" s="875">
        <f>IF(Z26&gt;0,ROUND(Z26*($R$26*(1+$AG26+Z$25))*BelarusV_LFpe*(1-$E$45),2),"-")</f>
        <v>111290.7</v>
      </c>
      <c r="G26" s="102"/>
      <c r="H26" s="102"/>
      <c r="I26" s="2082"/>
      <c r="J26" s="2082"/>
      <c r="K26" s="2082"/>
      <c r="L26" s="2082"/>
      <c r="M26" s="2082"/>
      <c r="N26" s="2082"/>
      <c r="O26" s="2082"/>
      <c r="P26" s="2082"/>
      <c r="Q26" s="2082"/>
      <c r="R26" s="572">
        <v>642</v>
      </c>
      <c r="S26" s="565">
        <v>2.0299999999999998</v>
      </c>
      <c r="T26" s="311"/>
      <c r="U26" s="311"/>
      <c r="V26" s="311">
        <v>144.69</v>
      </c>
      <c r="W26" s="311">
        <v>151.84</v>
      </c>
      <c r="X26" s="311">
        <v>159.03</v>
      </c>
      <c r="Y26" s="311">
        <v>166.18</v>
      </c>
      <c r="Z26" s="311">
        <v>173.35</v>
      </c>
      <c r="AA26" s="311"/>
      <c r="AB26" s="311"/>
      <c r="AC26" s="311"/>
      <c r="AD26" s="311"/>
      <c r="AE26" s="311"/>
      <c r="AF26" s="311"/>
      <c r="AG26" s="569">
        <v>0</v>
      </c>
    </row>
    <row r="27" spans="1:33" ht="15" customHeight="1" x14ac:dyDescent="0.4">
      <c r="A27" s="95"/>
      <c r="B27" s="95"/>
      <c r="C27" s="95"/>
      <c r="D27" s="95"/>
      <c r="E27" s="102"/>
      <c r="F27" s="102"/>
      <c r="G27" s="102"/>
      <c r="H27" s="102"/>
      <c r="I27" s="871"/>
      <c r="J27" s="871"/>
      <c r="K27" s="871"/>
      <c r="L27" s="871"/>
      <c r="M27" s="871"/>
      <c r="N27" s="871"/>
      <c r="O27" s="871"/>
      <c r="P27" s="871"/>
      <c r="Q27" s="871"/>
      <c r="R27" s="249"/>
      <c r="S27" s="247"/>
      <c r="V27" s="313"/>
    </row>
    <row r="28" spans="1:33" ht="15" customHeight="1" x14ac:dyDescent="0.3">
      <c r="B28" s="472"/>
      <c r="C28" s="472"/>
      <c r="D28" s="472"/>
      <c r="E28" s="472"/>
      <c r="F28" s="472"/>
      <c r="G28" s="472"/>
      <c r="H28" s="472"/>
      <c r="I28" s="472"/>
      <c r="J28" s="375"/>
      <c r="K28" s="16"/>
      <c r="L28" s="16"/>
      <c r="M28" s="16"/>
      <c r="N28" s="16"/>
      <c r="O28" s="16"/>
      <c r="P28" s="16"/>
      <c r="Q28" s="16"/>
      <c r="R28" s="378"/>
      <c r="S28" s="377"/>
      <c r="T28" s="15"/>
      <c r="U28" s="313"/>
      <c r="V28" s="313"/>
    </row>
    <row r="29" spans="1:33" ht="30" customHeight="1" x14ac:dyDescent="0.3">
      <c r="A29" s="2055" t="s">
        <v>328</v>
      </c>
      <c r="B29" s="2056"/>
      <c r="C29" s="2056"/>
      <c r="D29" s="2056"/>
      <c r="E29" s="2056"/>
      <c r="F29" s="2056"/>
      <c r="G29" s="2056"/>
      <c r="H29" s="2056"/>
      <c r="I29" s="2057"/>
      <c r="J29" s="375"/>
      <c r="K29" s="2055" t="s">
        <v>363</v>
      </c>
      <c r="L29" s="2056"/>
      <c r="M29" s="2056"/>
      <c r="N29" s="2056"/>
      <c r="O29" s="2056"/>
      <c r="P29" s="2056"/>
      <c r="Q29" s="2057"/>
      <c r="R29" s="378"/>
      <c r="S29" s="377"/>
      <c r="T29" s="15"/>
      <c r="U29" s="313"/>
      <c r="V29" s="313"/>
    </row>
    <row r="30" spans="1:33" ht="24.95" customHeight="1" x14ac:dyDescent="0.4">
      <c r="A30" s="2069" t="s">
        <v>76</v>
      </c>
      <c r="B30" s="1430" t="s">
        <v>175</v>
      </c>
      <c r="C30" s="1430" t="s">
        <v>23</v>
      </c>
      <c r="D30" s="1430" t="s">
        <v>72</v>
      </c>
      <c r="E30" s="2071" t="s">
        <v>73</v>
      </c>
      <c r="F30" s="2072"/>
      <c r="G30" s="2072"/>
      <c r="H30" s="2072"/>
      <c r="I30" s="2073"/>
      <c r="K30" s="2050" t="s">
        <v>750</v>
      </c>
      <c r="L30" s="2051"/>
      <c r="M30" s="2051"/>
      <c r="N30" s="2051"/>
      <c r="O30" s="2051"/>
      <c r="P30" s="2051"/>
      <c r="Q30" s="2052"/>
      <c r="R30" s="249"/>
      <c r="S30" s="247"/>
      <c r="U30" s="313"/>
      <c r="V30" s="313"/>
    </row>
    <row r="31" spans="1:33" ht="24.95" customHeight="1" x14ac:dyDescent="0.3">
      <c r="A31" s="2070"/>
      <c r="B31" s="1430"/>
      <c r="C31" s="1430"/>
      <c r="D31" s="1430"/>
      <c r="E31" s="149">
        <v>3.5</v>
      </c>
      <c r="F31" s="149">
        <v>4</v>
      </c>
      <c r="G31" s="149">
        <v>4.5</v>
      </c>
      <c r="H31" s="149">
        <v>5</v>
      </c>
      <c r="I31" s="149">
        <v>5.5</v>
      </c>
      <c r="K31" s="2053"/>
      <c r="L31" s="2030"/>
      <c r="M31" s="2030"/>
      <c r="N31" s="2030"/>
      <c r="O31" s="2030"/>
      <c r="P31" s="2030"/>
      <c r="Q31" s="2054"/>
      <c r="R31" s="571"/>
      <c r="S31" s="571"/>
      <c r="T31" s="283"/>
      <c r="U31" s="575"/>
    </row>
    <row r="32" spans="1:33" ht="33" customHeight="1" x14ac:dyDescent="0.3">
      <c r="A32" s="2058"/>
      <c r="B32" s="761" t="s">
        <v>430</v>
      </c>
      <c r="C32" s="761" t="s">
        <v>0</v>
      </c>
      <c r="D32" s="761">
        <v>2</v>
      </c>
      <c r="E32" s="818">
        <f>IF(U13&gt;0,ROUND(U13*($R$12*(1+$AG13+U$4))*0.9*BelarusV*(1-$G$45),2),"-")</f>
        <v>73438.98</v>
      </c>
      <c r="F32" s="818">
        <f>IF(V13&gt;0,ROUND(V13*($R$12*(1+$AG13+V$4))*0.9*BelarusV*(1-$G$45),2),"-")</f>
        <v>90429.11</v>
      </c>
      <c r="G32" s="818">
        <f>IF(W13&gt;0,ROUND(W13*($R$12*(1+$AG13+W$4))*0.9*BelarusV*(1-$G$45),2),"-")</f>
        <v>94475.89</v>
      </c>
      <c r="H32" s="818">
        <f>IF(X13&gt;0,ROUND(X13*($R$12*(1+$AG13+X$4))*0.9*BelarusV*(1-$G$45),2),"-")</f>
        <v>98559.65</v>
      </c>
      <c r="I32" s="818">
        <f>IF(Y13&gt;0,ROUND(Y13*($R$12*(1+$AG13+Y$4))*0.9*BelarusV*(1-$G$45),2),"-")</f>
        <v>102595.86</v>
      </c>
      <c r="J32" s="157"/>
      <c r="K32" s="2053"/>
      <c r="L32" s="2030"/>
      <c r="M32" s="2030"/>
      <c r="N32" s="2030"/>
      <c r="O32" s="2030"/>
      <c r="P32" s="2030"/>
      <c r="Q32" s="2054"/>
      <c r="R32" s="576"/>
      <c r="S32" s="576"/>
      <c r="T32" s="577"/>
      <c r="U32" s="577"/>
    </row>
    <row r="33" spans="1:22" ht="33" customHeight="1" x14ac:dyDescent="0.3">
      <c r="A33" s="2059"/>
      <c r="B33" s="10" t="s">
        <v>428</v>
      </c>
      <c r="C33" s="2061" t="s">
        <v>423</v>
      </c>
      <c r="D33" s="10">
        <v>2</v>
      </c>
      <c r="E33" s="530">
        <f>ROUND(R19*0.9*BelarusV*(1-$G$45),0)</f>
        <v>95956</v>
      </c>
      <c r="F33" s="533" t="s">
        <v>18</v>
      </c>
      <c r="G33" s="530">
        <f>ROUND(S19*0.9*BelarusV*(1-$G$45),0)</f>
        <v>110559</v>
      </c>
      <c r="H33" s="533" t="s">
        <v>18</v>
      </c>
      <c r="I33" s="533" t="s">
        <v>18</v>
      </c>
      <c r="J33" s="157"/>
      <c r="K33" s="2053"/>
      <c r="L33" s="2030"/>
      <c r="M33" s="2030"/>
      <c r="N33" s="2030"/>
      <c r="O33" s="2030"/>
      <c r="P33" s="2030"/>
      <c r="Q33" s="2054"/>
      <c r="R33" s="376"/>
      <c r="S33" s="377"/>
      <c r="T33" s="578"/>
      <c r="U33" s="313"/>
    </row>
    <row r="34" spans="1:22" ht="33" customHeight="1" x14ac:dyDescent="0.3">
      <c r="A34" s="2059"/>
      <c r="B34" s="2064" t="s">
        <v>429</v>
      </c>
      <c r="C34" s="2062"/>
      <c r="D34" s="150">
        <v>2</v>
      </c>
      <c r="E34" s="531">
        <f t="shared" ref="E34:E35" si="4">ROUND(R20*0.9*BelarusV*(1-$G$45),0)</f>
        <v>109427</v>
      </c>
      <c r="F34" s="534" t="s">
        <v>18</v>
      </c>
      <c r="G34" s="531">
        <f t="shared" ref="G34:G35" si="5">ROUND(S20*0.9*BelarusV*(1-$G$45),0)</f>
        <v>126247</v>
      </c>
      <c r="H34" s="534" t="s">
        <v>18</v>
      </c>
      <c r="I34" s="534" t="s">
        <v>18</v>
      </c>
      <c r="J34" s="157"/>
      <c r="K34" s="2053"/>
      <c r="L34" s="2030"/>
      <c r="M34" s="2030"/>
      <c r="N34" s="2030"/>
      <c r="O34" s="2030"/>
      <c r="P34" s="2030"/>
      <c r="Q34" s="2054"/>
      <c r="R34" s="376"/>
      <c r="S34" s="377"/>
      <c r="T34" s="578"/>
      <c r="U34" s="313"/>
    </row>
    <row r="35" spans="1:22" ht="33" customHeight="1" x14ac:dyDescent="0.3">
      <c r="A35" s="2060"/>
      <c r="B35" s="2065"/>
      <c r="C35" s="2063"/>
      <c r="D35" s="535">
        <v>2.4</v>
      </c>
      <c r="E35" s="532">
        <f t="shared" si="4"/>
        <v>122166</v>
      </c>
      <c r="F35" s="535" t="s">
        <v>18</v>
      </c>
      <c r="G35" s="532">
        <f t="shared" si="5"/>
        <v>140756</v>
      </c>
      <c r="H35" s="535" t="s">
        <v>18</v>
      </c>
      <c r="I35" s="535" t="s">
        <v>18</v>
      </c>
      <c r="J35" s="102"/>
      <c r="K35" s="2053"/>
      <c r="L35" s="2030"/>
      <c r="M35" s="2030"/>
      <c r="N35" s="2030"/>
      <c r="O35" s="2030"/>
      <c r="P35" s="2030"/>
      <c r="Q35" s="2054"/>
      <c r="R35" s="376"/>
      <c r="S35" s="377"/>
      <c r="T35" s="578"/>
      <c r="U35" s="313"/>
    </row>
    <row r="36" spans="1:22" ht="69.95" customHeight="1" x14ac:dyDescent="0.3">
      <c r="A36" s="2049" t="s">
        <v>663</v>
      </c>
      <c r="B36" s="2049"/>
      <c r="C36" s="2049"/>
      <c r="D36" s="2049"/>
      <c r="E36" s="2049"/>
      <c r="F36" s="2049"/>
      <c r="G36" s="2049"/>
      <c r="H36" s="2049"/>
      <c r="I36" s="2049"/>
      <c r="J36" s="849"/>
      <c r="K36" s="2066" t="s">
        <v>329</v>
      </c>
      <c r="L36" s="2067"/>
      <c r="M36" s="2067"/>
      <c r="N36" s="2067"/>
      <c r="O36" s="2067"/>
      <c r="P36" s="2067"/>
      <c r="Q36" s="2068"/>
      <c r="R36" s="376"/>
      <c r="S36" s="377"/>
      <c r="T36" s="578"/>
      <c r="U36" s="313"/>
      <c r="V36" s="313"/>
    </row>
    <row r="37" spans="1:22" ht="15" customHeight="1" x14ac:dyDescent="0.4">
      <c r="A37" s="95"/>
      <c r="B37" s="286"/>
      <c r="C37" s="95"/>
      <c r="D37" s="95"/>
      <c r="E37" s="102"/>
      <c r="F37" s="102"/>
      <c r="G37" s="102"/>
      <c r="H37" s="102"/>
      <c r="I37" s="102"/>
      <c r="J37" s="102"/>
      <c r="K37" s="102"/>
      <c r="L37" s="102"/>
      <c r="M37" s="102"/>
      <c r="R37" s="249"/>
      <c r="S37" s="247"/>
      <c r="V37" s="313"/>
    </row>
    <row r="38" spans="1:22" s="15" customFormat="1" ht="50.1" customHeight="1" x14ac:dyDescent="0.2">
      <c r="A38" s="2046" t="s">
        <v>623</v>
      </c>
      <c r="B38" s="2047"/>
      <c r="C38" s="2047"/>
      <c r="D38" s="2047"/>
      <c r="E38" s="2047"/>
      <c r="F38" s="2047"/>
      <c r="G38" s="2047"/>
      <c r="H38" s="2047"/>
      <c r="I38" s="2047"/>
      <c r="J38" s="2047"/>
      <c r="K38" s="2047"/>
      <c r="L38" s="2047"/>
      <c r="M38" s="2047"/>
      <c r="N38" s="2047"/>
      <c r="O38" s="2047"/>
      <c r="P38" s="2047"/>
      <c r="Q38" s="2048"/>
      <c r="R38" s="344"/>
    </row>
    <row r="39" spans="1:22" s="15" customFormat="1" ht="24.95" customHeight="1" x14ac:dyDescent="0.2">
      <c r="A39" s="2030" t="s">
        <v>25</v>
      </c>
      <c r="B39" s="2030"/>
      <c r="C39" s="2030"/>
      <c r="D39" s="2030"/>
      <c r="E39" s="2030"/>
      <c r="F39" s="2030"/>
      <c r="G39" s="2030"/>
      <c r="H39" s="16"/>
      <c r="K39" s="2051" t="s">
        <v>165</v>
      </c>
      <c r="L39" s="2051"/>
      <c r="M39" s="2051"/>
      <c r="N39" s="2051"/>
      <c r="O39" s="2051"/>
      <c r="P39" s="2051"/>
      <c r="Q39" s="2051"/>
      <c r="R39" s="344"/>
    </row>
    <row r="40" spans="1:22" ht="24.95" customHeight="1" x14ac:dyDescent="0.3">
      <c r="A40" s="1456" t="s">
        <v>1357</v>
      </c>
      <c r="B40" s="1456"/>
      <c r="C40" s="1456"/>
      <c r="D40" s="1456"/>
      <c r="E40" s="1456"/>
      <c r="F40" s="2077" t="s">
        <v>524</v>
      </c>
      <c r="G40" s="2077"/>
      <c r="H40" s="2077"/>
      <c r="I40" s="2077"/>
      <c r="J40" s="2077"/>
      <c r="K40" s="2030"/>
      <c r="L40" s="2030"/>
      <c r="M40" s="2030"/>
      <c r="N40" s="2030"/>
      <c r="O40" s="2030"/>
      <c r="P40" s="2030"/>
      <c r="Q40" s="2030"/>
    </row>
    <row r="41" spans="1:22" ht="24.95" customHeight="1" x14ac:dyDescent="0.3">
      <c r="A41" s="1456" t="s">
        <v>1355</v>
      </c>
      <c r="B41" s="1456"/>
      <c r="C41" s="1456"/>
      <c r="D41" s="1456"/>
      <c r="E41" s="1456"/>
      <c r="F41" s="2077"/>
      <c r="G41" s="2077"/>
      <c r="H41" s="2077"/>
      <c r="I41" s="2077"/>
      <c r="J41" s="2077"/>
      <c r="K41" s="2074" t="s">
        <v>360</v>
      </c>
      <c r="L41" s="2074"/>
      <c r="M41" s="2074"/>
      <c r="N41" s="2074"/>
      <c r="O41" s="2074"/>
      <c r="P41" s="2074"/>
      <c r="Q41" s="2074"/>
    </row>
    <row r="42" spans="1:22" x14ac:dyDescent="0.3">
      <c r="E42" s="848"/>
      <c r="F42" s="848"/>
      <c r="G42" s="848"/>
      <c r="H42" s="848"/>
    </row>
    <row r="43" spans="1:22" ht="16.5" customHeight="1" x14ac:dyDescent="0.3">
      <c r="L43" s="12"/>
      <c r="M43" s="12"/>
      <c r="N43" s="12"/>
      <c r="O43" s="12"/>
      <c r="P43" s="15"/>
      <c r="Q43" s="12"/>
      <c r="R43" s="29"/>
    </row>
    <row r="44" spans="1:22" ht="50.25" customHeight="1" x14ac:dyDescent="0.3">
      <c r="A44" s="1758" t="s">
        <v>26</v>
      </c>
      <c r="B44" s="1758"/>
      <c r="C44" s="1758"/>
      <c r="D44" s="1758"/>
      <c r="E44" s="2075" t="s">
        <v>331</v>
      </c>
      <c r="F44" s="2075"/>
      <c r="G44" s="2075" t="s">
        <v>431</v>
      </c>
      <c r="H44" s="2075"/>
      <c r="I44" s="2076" t="s">
        <v>332</v>
      </c>
      <c r="J44" s="2076"/>
      <c r="K44" s="2075" t="s">
        <v>325</v>
      </c>
      <c r="L44" s="2075"/>
      <c r="M44" s="29"/>
      <c r="N44" s="29"/>
      <c r="O44" s="29"/>
      <c r="P44" s="28"/>
      <c r="Q44" s="29"/>
      <c r="R44" s="29"/>
    </row>
    <row r="45" spans="1:22" ht="45" x14ac:dyDescent="0.3">
      <c r="A45" s="1759"/>
      <c r="B45" s="1759"/>
      <c r="C45" s="1759"/>
      <c r="D45" s="1759"/>
      <c r="E45" s="1882">
        <v>0</v>
      </c>
      <c r="F45" s="1882"/>
      <c r="G45" s="1882">
        <v>0</v>
      </c>
      <c r="H45" s="1882"/>
      <c r="I45" s="1882">
        <v>0</v>
      </c>
      <c r="J45" s="1882"/>
      <c r="K45" s="1882">
        <v>0</v>
      </c>
      <c r="L45" s="1882"/>
      <c r="M45" s="29"/>
      <c r="N45" s="29"/>
      <c r="O45" s="29"/>
      <c r="P45" s="42"/>
      <c r="Q45" s="42"/>
      <c r="R45" s="42"/>
    </row>
    <row r="46" spans="1:22" ht="14.25" customHeight="1" x14ac:dyDescent="0.4">
      <c r="A46" s="27"/>
      <c r="B46" s="27"/>
      <c r="C46" s="27"/>
      <c r="D46" s="27"/>
      <c r="E46" s="27"/>
      <c r="F46" s="27"/>
      <c r="G46" s="29"/>
      <c r="H46" s="29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22" ht="18" customHeight="1" x14ac:dyDescent="0.3">
      <c r="G47" s="12"/>
      <c r="H47" s="12"/>
    </row>
  </sheetData>
  <dataConsolidate/>
  <mergeCells count="61">
    <mergeCell ref="I24:Q24"/>
    <mergeCell ref="I25:Q26"/>
    <mergeCell ref="A24:A25"/>
    <mergeCell ref="B24:B25"/>
    <mergeCell ref="C24:C25"/>
    <mergeCell ref="D24:D25"/>
    <mergeCell ref="E24:F24"/>
    <mergeCell ref="B2:M2"/>
    <mergeCell ref="A3:A4"/>
    <mergeCell ref="B3:B4"/>
    <mergeCell ref="C3:C4"/>
    <mergeCell ref="D3:D4"/>
    <mergeCell ref="E3:Q3"/>
    <mergeCell ref="A5:A8"/>
    <mergeCell ref="B5:B8"/>
    <mergeCell ref="C5:C8"/>
    <mergeCell ref="A9:A11"/>
    <mergeCell ref="B9:B11"/>
    <mergeCell ref="C9:C11"/>
    <mergeCell ref="B13:C13"/>
    <mergeCell ref="A17:A18"/>
    <mergeCell ref="B17:B18"/>
    <mergeCell ref="C17:C18"/>
    <mergeCell ref="D17:D18"/>
    <mergeCell ref="A14:Q14"/>
    <mergeCell ref="A12:A13"/>
    <mergeCell ref="A19:A21"/>
    <mergeCell ref="C19:C21"/>
    <mergeCell ref="B20:B21"/>
    <mergeCell ref="I17:Q17"/>
    <mergeCell ref="I18:Q22"/>
    <mergeCell ref="E17:F17"/>
    <mergeCell ref="K39:Q40"/>
    <mergeCell ref="K41:Q41"/>
    <mergeCell ref="G45:H45"/>
    <mergeCell ref="I45:J45"/>
    <mergeCell ref="K45:L45"/>
    <mergeCell ref="A39:G39"/>
    <mergeCell ref="A44:D45"/>
    <mergeCell ref="E44:F44"/>
    <mergeCell ref="G44:H44"/>
    <mergeCell ref="I44:J44"/>
    <mergeCell ref="K44:L44"/>
    <mergeCell ref="E45:F45"/>
    <mergeCell ref="A40:E40"/>
    <mergeCell ref="F40:J41"/>
    <mergeCell ref="A41:E41"/>
    <mergeCell ref="A38:Q38"/>
    <mergeCell ref="A36:I36"/>
    <mergeCell ref="K30:Q35"/>
    <mergeCell ref="K29:Q29"/>
    <mergeCell ref="A32:A35"/>
    <mergeCell ref="C33:C35"/>
    <mergeCell ref="B34:B35"/>
    <mergeCell ref="K36:Q36"/>
    <mergeCell ref="A29:I29"/>
    <mergeCell ref="A30:A31"/>
    <mergeCell ref="B30:B31"/>
    <mergeCell ref="C30:C31"/>
    <mergeCell ref="D30:D31"/>
    <mergeCell ref="E30:I3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42" orientation="landscape" r:id="rId1"/>
  <headerFooter scaleWithDoc="0">
    <oddFooter>&amp;R&amp;"Arial Cyr,полужирный"&amp;8стр. &amp;P из &amp;N&amp;"Arial Cyr,обычный" &amp;A</oddFooter>
  </headerFooter>
  <drawing r:id="rId2"/>
  <legacyDrawing r:id="rId3"/>
  <oleObjects>
    <mc:AlternateContent xmlns:mc="http://schemas.openxmlformats.org/markup-compatibility/2006">
      <mc:Choice Requires="x14">
        <oleObject progId="CorelDRAW.Graphic.13" shapeId="15257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3" shapeId="152577" r:id="rId4"/>
      </mc:Fallback>
    </mc:AlternateContent>
    <mc:AlternateContent xmlns:mc="http://schemas.openxmlformats.org/markup-compatibility/2006">
      <mc:Choice Requires="x14">
        <oleObject progId="CorelDRAW.Graphic.13" shapeId="152578" r:id="rId6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3" shapeId="152578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A32B-33B1-4E33-AFA4-011AC039BB49}">
  <sheetPr>
    <tabColor rgb="FFC00000"/>
    <pageSetUpPr fitToPage="1"/>
  </sheetPr>
  <dimension ref="A1:BJ73"/>
  <sheetViews>
    <sheetView showGridLines="0" zoomScale="55" zoomScaleNormal="55" zoomScaleSheetLayoutView="55" zoomScalePageLayoutView="40" workbookViewId="0">
      <selection activeCell="S2" sqref="S2"/>
    </sheetView>
  </sheetViews>
  <sheetFormatPr defaultRowHeight="30" x14ac:dyDescent="0.4"/>
  <cols>
    <col min="1" max="1" width="26.7109375" style="4" customWidth="1"/>
    <col min="2" max="2" width="23.7109375" style="4" customWidth="1"/>
    <col min="3" max="3" width="20.7109375" style="4" customWidth="1"/>
    <col min="4" max="4" width="16.7109375" style="4" customWidth="1"/>
    <col min="5" max="8" width="19.7109375" style="4" customWidth="1"/>
    <col min="9" max="9" width="20.7109375" style="4" customWidth="1"/>
    <col min="10" max="10" width="22.7109375" style="4" customWidth="1"/>
    <col min="11" max="12" width="23.7109375" style="4" customWidth="1"/>
    <col min="13" max="15" width="19.7109375" style="4" customWidth="1"/>
    <col min="16" max="17" width="20.7109375" style="4" customWidth="1"/>
    <col min="18" max="18" width="18.7109375" customWidth="1"/>
    <col min="19" max="19" width="20.7109375" customWidth="1"/>
    <col min="20" max="20" width="10.7109375" customWidth="1"/>
    <col min="21" max="21" width="11" style="95" hidden="1" customWidth="1"/>
    <col min="22" max="34" width="13.140625" style="95" hidden="1" customWidth="1"/>
    <col min="35" max="35" width="9" style="95" hidden="1" customWidth="1"/>
    <col min="36" max="36" width="15.42578125" style="276" bestFit="1" customWidth="1"/>
    <col min="37" max="39" width="13.42578125" style="276" bestFit="1" customWidth="1"/>
    <col min="40" max="40" width="14.5703125" style="276" customWidth="1"/>
    <col min="41" max="41" width="14.7109375" style="276" customWidth="1"/>
    <col min="42" max="46" width="13" style="276" bestFit="1" customWidth="1"/>
    <col min="47" max="47" width="13" bestFit="1" customWidth="1"/>
    <col min="48" max="48" width="4.140625" bestFit="1" customWidth="1"/>
    <col min="49" max="49" width="13" bestFit="1" customWidth="1"/>
    <col min="50" max="50" width="17.42578125" bestFit="1" customWidth="1"/>
    <col min="51" max="51" width="4.7109375" bestFit="1" customWidth="1"/>
    <col min="52" max="53" width="14.85546875" bestFit="1" customWidth="1"/>
    <col min="54" max="54" width="4.7109375" bestFit="1" customWidth="1"/>
    <col min="55" max="58" width="14.85546875" bestFit="1" customWidth="1"/>
    <col min="59" max="59" width="17.42578125" bestFit="1" customWidth="1"/>
  </cols>
  <sheetData>
    <row r="1" spans="1:59" ht="75.75" customHeight="1" x14ac:dyDescent="0.4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275">
        <v>578</v>
      </c>
      <c r="V1" s="281" t="s">
        <v>10</v>
      </c>
    </row>
    <row r="2" spans="1:59" ht="33" customHeight="1" x14ac:dyDescent="0.4">
      <c r="C2" s="2232" t="s">
        <v>259</v>
      </c>
      <c r="D2" s="2232"/>
      <c r="E2" s="2232"/>
      <c r="F2" s="2232"/>
      <c r="G2" s="2232"/>
      <c r="H2" s="2232"/>
      <c r="I2" s="2232"/>
      <c r="J2" s="2232"/>
      <c r="K2" s="2232"/>
      <c r="L2" s="2232"/>
      <c r="M2" s="2232"/>
      <c r="N2" s="2232"/>
      <c r="R2" s="277" t="s">
        <v>132</v>
      </c>
      <c r="S2" s="348">
        <f>'Панельные ограждения GL (стр.1)'!N2</f>
        <v>46197</v>
      </c>
      <c r="T2" s="391"/>
      <c r="U2" s="2233" t="s">
        <v>386</v>
      </c>
      <c r="V2" s="95">
        <v>3</v>
      </c>
      <c r="W2" s="95">
        <v>3.5</v>
      </c>
      <c r="X2" s="95">
        <v>4</v>
      </c>
      <c r="Y2" s="95">
        <v>4.5</v>
      </c>
      <c r="Z2" s="95">
        <v>5</v>
      </c>
      <c r="AA2" s="95">
        <v>5.5</v>
      </c>
      <c r="AB2" s="95">
        <v>6</v>
      </c>
      <c r="AC2" s="95">
        <v>6.5</v>
      </c>
      <c r="AD2" s="95">
        <v>7</v>
      </c>
      <c r="AE2" s="95">
        <v>7.5</v>
      </c>
      <c r="AF2" s="95">
        <v>8</v>
      </c>
      <c r="AG2" s="95">
        <v>8.5</v>
      </c>
      <c r="AH2" s="95">
        <v>9</v>
      </c>
    </row>
    <row r="3" spans="1:59" s="279" customFormat="1" ht="24.95" customHeight="1" x14ac:dyDescent="0.2">
      <c r="A3" s="2081" t="s">
        <v>260</v>
      </c>
      <c r="B3" s="2069" t="s">
        <v>71</v>
      </c>
      <c r="C3" s="2069" t="s">
        <v>23</v>
      </c>
      <c r="D3" s="2069" t="s">
        <v>72</v>
      </c>
      <c r="E3" s="2071" t="s">
        <v>73</v>
      </c>
      <c r="F3" s="2072"/>
      <c r="G3" s="2072"/>
      <c r="H3" s="2072"/>
      <c r="I3" s="2072"/>
      <c r="J3" s="2072"/>
      <c r="K3" s="2072"/>
      <c r="L3" s="2072"/>
      <c r="M3" s="2072"/>
      <c r="N3" s="2072"/>
      <c r="O3" s="2072"/>
      <c r="P3" s="2072"/>
      <c r="Q3" s="2072"/>
      <c r="R3" s="2234" t="s">
        <v>589</v>
      </c>
      <c r="S3" s="2235"/>
      <c r="T3" s="379"/>
      <c r="U3" s="2233"/>
      <c r="V3" s="2236" t="s">
        <v>451</v>
      </c>
      <c r="W3" s="2236"/>
      <c r="X3" s="2236"/>
      <c r="Y3" s="2236"/>
      <c r="Z3" s="2236"/>
      <c r="AA3" s="2236"/>
      <c r="AB3" s="2236"/>
      <c r="AC3" s="2236"/>
      <c r="AD3" s="2236"/>
      <c r="AE3" s="2236"/>
      <c r="AF3" s="2236"/>
      <c r="AG3" s="2236"/>
      <c r="AH3" s="2236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</row>
    <row r="4" spans="1:59" s="279" customFormat="1" ht="24.95" customHeight="1" x14ac:dyDescent="0.2">
      <c r="A4" s="2081"/>
      <c r="B4" s="2070"/>
      <c r="C4" s="2070"/>
      <c r="D4" s="2070"/>
      <c r="E4" s="149">
        <v>3</v>
      </c>
      <c r="F4" s="280">
        <v>3.5</v>
      </c>
      <c r="G4" s="149">
        <v>4</v>
      </c>
      <c r="H4" s="149">
        <v>4.5</v>
      </c>
      <c r="I4" s="149">
        <v>5</v>
      </c>
      <c r="J4" s="149">
        <v>5.5</v>
      </c>
      <c r="K4" s="149">
        <v>6</v>
      </c>
      <c r="L4" s="149">
        <v>6.5</v>
      </c>
      <c r="M4" s="149">
        <v>7</v>
      </c>
      <c r="N4" s="149">
        <v>7.5</v>
      </c>
      <c r="O4" s="149">
        <v>8</v>
      </c>
      <c r="P4" s="280">
        <v>8.5</v>
      </c>
      <c r="Q4" s="280">
        <v>9</v>
      </c>
      <c r="R4" s="2234"/>
      <c r="S4" s="2235"/>
      <c r="T4" s="379"/>
      <c r="U4" s="2233"/>
      <c r="V4" s="560">
        <v>0.3</v>
      </c>
      <c r="W4" s="560">
        <v>0.3</v>
      </c>
      <c r="X4" s="560">
        <v>0.2</v>
      </c>
      <c r="Y4" s="560">
        <v>0.2</v>
      </c>
      <c r="Z4" s="560">
        <v>0.2</v>
      </c>
      <c r="AA4" s="560">
        <v>0.15</v>
      </c>
      <c r="AB4" s="560">
        <v>0</v>
      </c>
      <c r="AC4" s="560">
        <v>0</v>
      </c>
      <c r="AD4" s="560">
        <v>0</v>
      </c>
      <c r="AE4" s="560">
        <v>0</v>
      </c>
      <c r="AF4" s="560">
        <v>0</v>
      </c>
      <c r="AG4" s="560">
        <v>0</v>
      </c>
      <c r="AH4" s="560">
        <v>0</v>
      </c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</row>
    <row r="5" spans="1:59" ht="27" customHeight="1" x14ac:dyDescent="0.4">
      <c r="A5" s="2089"/>
      <c r="B5" s="2090" t="s">
        <v>392</v>
      </c>
      <c r="C5" s="2090" t="s">
        <v>436</v>
      </c>
      <c r="D5" s="151">
        <v>1.53</v>
      </c>
      <c r="E5" s="934">
        <f t="shared" ref="E5:H6" si="0">IF(V5&gt;0,ROUND(V5*($U$1*(1+$U5+V$4))*BelarusV_LFpe*(1-$B$59),0),"-")</f>
        <v>57940</v>
      </c>
      <c r="F5" s="934">
        <f t="shared" si="0"/>
        <v>60292</v>
      </c>
      <c r="G5" s="934">
        <f t="shared" si="0"/>
        <v>62571</v>
      </c>
      <c r="H5" s="934">
        <f t="shared" si="0"/>
        <v>91486</v>
      </c>
      <c r="I5" s="934">
        <f t="shared" ref="I5:Q6" si="1">IF(Z5&gt;0,ROUND(Z5*($U$1*(1+$U5+Z$4))*BelarusV_LFpe*(1-$B$59),2),"-")</f>
        <v>102159.13</v>
      </c>
      <c r="J5" s="934">
        <f t="shared" si="1"/>
        <v>103122.6</v>
      </c>
      <c r="K5" s="934">
        <f t="shared" si="1"/>
        <v>109504.53</v>
      </c>
      <c r="L5" s="934">
        <f t="shared" si="1"/>
        <v>129406.57</v>
      </c>
      <c r="M5" s="934">
        <f t="shared" si="1"/>
        <v>133871.85</v>
      </c>
      <c r="N5" s="934" t="str">
        <f t="shared" si="1"/>
        <v>-</v>
      </c>
      <c r="O5" s="934" t="str">
        <f t="shared" si="1"/>
        <v>-</v>
      </c>
      <c r="P5" s="934" t="str">
        <f t="shared" si="1"/>
        <v>-</v>
      </c>
      <c r="Q5" s="935" t="str">
        <f t="shared" si="1"/>
        <v>-</v>
      </c>
      <c r="R5" s="2234"/>
      <c r="S5" s="2235"/>
      <c r="T5" s="379"/>
      <c r="U5" s="561">
        <v>7.0000000000000007E-2</v>
      </c>
      <c r="V5" s="559">
        <v>73.17</v>
      </c>
      <c r="W5" s="559">
        <v>76.14</v>
      </c>
      <c r="X5" s="559">
        <v>85.24</v>
      </c>
      <c r="Y5" s="559">
        <v>124.63</v>
      </c>
      <c r="Z5" s="559">
        <v>139.16999999999999</v>
      </c>
      <c r="AA5" s="559">
        <v>146.24</v>
      </c>
      <c r="AB5" s="559">
        <v>177.06</v>
      </c>
      <c r="AC5" s="559">
        <v>209.24</v>
      </c>
      <c r="AD5" s="559">
        <v>216.46</v>
      </c>
      <c r="AE5" s="559">
        <v>0</v>
      </c>
      <c r="AF5" s="559">
        <v>0</v>
      </c>
      <c r="AG5" s="559">
        <v>0</v>
      </c>
      <c r="AH5" s="559">
        <v>0</v>
      </c>
      <c r="AI5" s="95">
        <v>1.53</v>
      </c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291"/>
      <c r="AW5" s="291"/>
      <c r="AX5" s="291"/>
      <c r="AY5" s="276"/>
      <c r="AZ5" s="276"/>
      <c r="BA5" s="276"/>
      <c r="BB5" s="276"/>
      <c r="BC5" s="276"/>
      <c r="BD5" s="276"/>
      <c r="BE5" s="276"/>
      <c r="BF5" s="276"/>
      <c r="BG5" s="276"/>
    </row>
    <row r="6" spans="1:59" ht="27" customHeight="1" x14ac:dyDescent="0.4">
      <c r="A6" s="2089"/>
      <c r="B6" s="2090"/>
      <c r="C6" s="2090"/>
      <c r="D6" s="152">
        <v>1.73</v>
      </c>
      <c r="E6" s="936">
        <f t="shared" si="0"/>
        <v>62194</v>
      </c>
      <c r="F6" s="936">
        <f t="shared" si="0"/>
        <v>64564</v>
      </c>
      <c r="G6" s="936">
        <f t="shared" si="0"/>
        <v>66755</v>
      </c>
      <c r="H6" s="936">
        <f t="shared" si="0"/>
        <v>90113</v>
      </c>
      <c r="I6" s="936">
        <f t="shared" si="1"/>
        <v>105099.82</v>
      </c>
      <c r="J6" s="936">
        <f t="shared" si="1"/>
        <v>124419.76</v>
      </c>
      <c r="K6" s="936">
        <f t="shared" si="1"/>
        <v>127936.37</v>
      </c>
      <c r="L6" s="936">
        <f t="shared" si="1"/>
        <v>144707.62</v>
      </c>
      <c r="M6" s="936">
        <f t="shared" si="1"/>
        <v>149137.87</v>
      </c>
      <c r="N6" s="936">
        <f t="shared" si="1"/>
        <v>188493.2</v>
      </c>
      <c r="O6" s="936">
        <f t="shared" si="1"/>
        <v>193151.88</v>
      </c>
      <c r="P6" s="936">
        <f t="shared" si="1"/>
        <v>200335.26</v>
      </c>
      <c r="Q6" s="975">
        <f t="shared" si="1"/>
        <v>204963.89</v>
      </c>
      <c r="R6" s="2237" t="s">
        <v>298</v>
      </c>
      <c r="S6" s="2238"/>
      <c r="T6" s="379"/>
      <c r="U6" s="561">
        <v>0.04</v>
      </c>
      <c r="V6" s="559">
        <v>80.3</v>
      </c>
      <c r="W6" s="559">
        <v>83.36</v>
      </c>
      <c r="X6" s="559">
        <v>93.14</v>
      </c>
      <c r="Y6" s="559">
        <v>125.73</v>
      </c>
      <c r="Z6" s="559">
        <v>146.63999999999999</v>
      </c>
      <c r="AA6" s="559">
        <v>180.89</v>
      </c>
      <c r="AB6" s="559">
        <v>212.83</v>
      </c>
      <c r="AC6" s="559">
        <v>240.73</v>
      </c>
      <c r="AD6" s="559">
        <v>248.1</v>
      </c>
      <c r="AE6" s="559">
        <v>313.57</v>
      </c>
      <c r="AF6" s="559">
        <v>321.32</v>
      </c>
      <c r="AG6" s="559">
        <v>333.27</v>
      </c>
      <c r="AH6" s="559">
        <v>340.97</v>
      </c>
      <c r="AI6" s="95">
        <v>1.73</v>
      </c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291"/>
      <c r="AW6" s="291"/>
      <c r="AX6" s="291"/>
      <c r="AY6" s="276"/>
      <c r="AZ6" s="276"/>
      <c r="BA6" s="276"/>
      <c r="BB6" s="276"/>
      <c r="BC6" s="276"/>
      <c r="BD6" s="276"/>
      <c r="BE6" s="276"/>
      <c r="BF6" s="276"/>
      <c r="BG6" s="276"/>
    </row>
    <row r="7" spans="1:59" ht="27" customHeight="1" x14ac:dyDescent="0.4">
      <c r="A7" s="2089"/>
      <c r="B7" s="2090"/>
      <c r="C7" s="2090"/>
      <c r="D7" s="152">
        <v>2.0299999999999998</v>
      </c>
      <c r="E7" s="936">
        <f t="shared" ref="E7:F9" si="2">IF(V7&gt;0,ROUND(V7*($U$1*(1+$U7+V$4))*BelarusV_LFpe*(1-$B$59),0),"-")</f>
        <v>69459</v>
      </c>
      <c r="F7" s="936">
        <f t="shared" si="2"/>
        <v>71856</v>
      </c>
      <c r="G7" s="936" t="str">
        <f>IF(X7&gt;0,ROUND(X7*($U$1*(1+$U7+X$4))*BelarusV_LFpe*(1-$B$59),0),"-")&amp;"*"</f>
        <v>74056*</v>
      </c>
      <c r="H7" s="936">
        <f>IF(Y7&gt;0,ROUND(Y7*($U$1*(1+$U7+Y$4))*BelarusV_LFpe*(1-$B$59),0),"-")</f>
        <v>109062</v>
      </c>
      <c r="I7" s="936" t="str">
        <f>IF(Z7&gt;0,ROUND(Z7*($U$1*(1+$U7+Z$4))*BelarusV_LFpe*(1-$B$59),0),"-")&amp;"*"</f>
        <v>114728*</v>
      </c>
      <c r="J7" s="936">
        <f>IF(AA7&gt;0,ROUND(AA7*($U$1*(1+$U7+AA$4))*BelarusV_LFpe*(1-$B$59),2),"-")</f>
        <v>142033.1</v>
      </c>
      <c r="K7" s="936" t="str">
        <f>IF(AB7&gt;0,ROUND(AB7*($U$1*(1+$U7+AB$4))*BelarusV_LFpe*(1-$B$59),0),"-")&amp;"*"</f>
        <v>152609*</v>
      </c>
      <c r="L7" s="936">
        <f t="shared" ref="L7:Q9" si="3">IF(AC7&gt;0,ROUND(AC7*($U$1*(1+$U7+AC$4))*BelarusV_LFpe*(1-$B$59),2),"-")</f>
        <v>152678.70000000001</v>
      </c>
      <c r="M7" s="936">
        <f t="shared" si="3"/>
        <v>192936.4</v>
      </c>
      <c r="N7" s="936">
        <f t="shared" si="3"/>
        <v>198693.28</v>
      </c>
      <c r="O7" s="936">
        <f t="shared" si="3"/>
        <v>203438.66</v>
      </c>
      <c r="P7" s="936">
        <f t="shared" si="3"/>
        <v>209149.3</v>
      </c>
      <c r="Q7" s="975">
        <f t="shared" si="3"/>
        <v>212530.6</v>
      </c>
      <c r="R7" s="2239"/>
      <c r="S7" s="2240"/>
      <c r="T7" s="379"/>
      <c r="U7" s="561">
        <v>0</v>
      </c>
      <c r="V7" s="559">
        <v>92.44</v>
      </c>
      <c r="W7" s="559">
        <v>95.63</v>
      </c>
      <c r="X7" s="559">
        <v>106.77</v>
      </c>
      <c r="Y7" s="559">
        <v>157.24</v>
      </c>
      <c r="Z7" s="559">
        <v>165.41</v>
      </c>
      <c r="AA7" s="559">
        <v>213.68</v>
      </c>
      <c r="AB7" s="559">
        <v>264.02999999999997</v>
      </c>
      <c r="AC7" s="559">
        <v>264.14999999999998</v>
      </c>
      <c r="AD7" s="559">
        <v>333.8</v>
      </c>
      <c r="AE7" s="559">
        <v>343.76</v>
      </c>
      <c r="AF7" s="559">
        <v>351.96999999999997</v>
      </c>
      <c r="AG7" s="559">
        <v>361.84999999999997</v>
      </c>
      <c r="AH7" s="559">
        <v>367.7</v>
      </c>
      <c r="AI7" s="95">
        <v>2.0299999999999998</v>
      </c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291"/>
      <c r="AW7" s="291"/>
      <c r="AX7" s="291"/>
      <c r="AY7" s="276"/>
      <c r="AZ7" s="276"/>
      <c r="BA7" s="276"/>
      <c r="BB7" s="276"/>
      <c r="BC7" s="276"/>
      <c r="BD7" s="276"/>
      <c r="BE7" s="276"/>
      <c r="BF7" s="276"/>
      <c r="BG7" s="276"/>
    </row>
    <row r="8" spans="1:59" ht="27" hidden="1" customHeight="1" x14ac:dyDescent="0.4">
      <c r="A8" s="2089"/>
      <c r="B8" s="2090"/>
      <c r="C8" s="2090"/>
      <c r="D8" s="1073">
        <v>2.23</v>
      </c>
      <c r="E8" s="1077"/>
      <c r="F8" s="1077"/>
      <c r="G8" s="1077"/>
      <c r="H8" s="1077"/>
      <c r="I8" s="1077"/>
      <c r="J8" s="1077"/>
      <c r="K8" s="1077"/>
      <c r="L8" s="1077"/>
      <c r="M8" s="1077"/>
      <c r="N8" s="1077"/>
      <c r="O8" s="1077"/>
      <c r="P8" s="1077"/>
      <c r="Q8" s="1078"/>
      <c r="R8" s="2239"/>
      <c r="S8" s="2240"/>
      <c r="T8" s="379"/>
      <c r="U8" s="561"/>
      <c r="V8" s="559">
        <v>115.53</v>
      </c>
      <c r="W8" s="559">
        <v>121.33</v>
      </c>
      <c r="X8" s="559">
        <v>146.21</v>
      </c>
      <c r="Y8" s="559">
        <v>161.58000000000001</v>
      </c>
      <c r="Z8" s="559">
        <v>205.34</v>
      </c>
      <c r="AA8" s="559">
        <v>243.36</v>
      </c>
      <c r="AB8" s="559">
        <v>285.57</v>
      </c>
      <c r="AC8" s="559">
        <v>363.39</v>
      </c>
      <c r="AD8" s="559">
        <v>371.92</v>
      </c>
      <c r="AE8" s="559">
        <v>382.24</v>
      </c>
      <c r="AF8" s="559">
        <v>390.66</v>
      </c>
      <c r="AG8" s="559">
        <v>400.88</v>
      </c>
      <c r="AH8" s="559">
        <v>0</v>
      </c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291"/>
      <c r="AW8" s="291"/>
      <c r="AX8" s="291"/>
      <c r="AY8" s="276"/>
      <c r="AZ8" s="276"/>
      <c r="BA8" s="276"/>
      <c r="BB8" s="276"/>
      <c r="BC8" s="276"/>
      <c r="BD8" s="276"/>
      <c r="BE8" s="276"/>
      <c r="BF8" s="276"/>
      <c r="BG8" s="276"/>
    </row>
    <row r="9" spans="1:59" ht="27" customHeight="1" x14ac:dyDescent="0.4">
      <c r="A9" s="2089"/>
      <c r="B9" s="2090"/>
      <c r="C9" s="2090"/>
      <c r="D9" s="153">
        <v>2.4300000000000002</v>
      </c>
      <c r="E9" s="937">
        <f t="shared" si="2"/>
        <v>86093</v>
      </c>
      <c r="F9" s="937">
        <f t="shared" si="2"/>
        <v>90493</v>
      </c>
      <c r="G9" s="937" t="str">
        <f>IF(X9&gt;0,ROUND(X9*($U$1*(1+$U9+X$4))*BelarusV_LFpe*(1-$B$59),0),"-")&amp;"*"</f>
        <v>105242*</v>
      </c>
      <c r="H9" s="937">
        <f>IF(Y9&gt;0,ROUND(Y9*($U$1*(1+$U9+Y$4))*BelarusV_LFpe*(1-$B$59),0),"-")</f>
        <v>121913</v>
      </c>
      <c r="I9" s="937">
        <f>IF(Z9&gt;0,ROUND(Z9*($U$1*(1+$U9+Z$4))*BelarusV_LFpe*(1-$B$59),2),"-")</f>
        <v>138324.07</v>
      </c>
      <c r="J9" s="937">
        <f>IF(AA9&gt;0,ROUND(AA9*($U$1*(1+$U9+AA$4))*BelarusV_LFpe*(1-$B$59),2),"-")</f>
        <v>165104.54</v>
      </c>
      <c r="K9" s="937">
        <f>IF(AB9&gt;0,ROUND(AB9*($U$1*(1+$U9+AB$4))*BelarusV_LFpe*(1-$B$59),2),"-")</f>
        <v>206615.35</v>
      </c>
      <c r="L9" s="937">
        <f t="shared" si="3"/>
        <v>216943.92</v>
      </c>
      <c r="M9" s="937">
        <f t="shared" si="3"/>
        <v>221688.14</v>
      </c>
      <c r="N9" s="937">
        <f t="shared" si="3"/>
        <v>228068.69</v>
      </c>
      <c r="O9" s="937">
        <f t="shared" si="3"/>
        <v>232774.47</v>
      </c>
      <c r="P9" s="937">
        <f t="shared" si="3"/>
        <v>239089.12</v>
      </c>
      <c r="Q9" s="976">
        <f t="shared" si="3"/>
        <v>298556.65000000002</v>
      </c>
      <c r="R9" s="2239"/>
      <c r="S9" s="2240"/>
      <c r="T9" s="379"/>
      <c r="U9" s="561">
        <v>-0.05</v>
      </c>
      <c r="V9" s="559">
        <v>119.16</v>
      </c>
      <c r="W9" s="559">
        <v>125.25</v>
      </c>
      <c r="X9" s="559">
        <v>158.33000000000001</v>
      </c>
      <c r="Y9" s="559">
        <v>183.41</v>
      </c>
      <c r="Z9" s="559">
        <v>208.1</v>
      </c>
      <c r="AA9" s="559">
        <v>259.68</v>
      </c>
      <c r="AB9" s="559">
        <v>376.28</v>
      </c>
      <c r="AC9" s="559">
        <v>395.09</v>
      </c>
      <c r="AD9" s="559">
        <v>403.73</v>
      </c>
      <c r="AE9" s="559">
        <v>415.35</v>
      </c>
      <c r="AF9" s="559">
        <v>423.92</v>
      </c>
      <c r="AG9" s="559">
        <v>435.42</v>
      </c>
      <c r="AH9" s="559">
        <v>543.72</v>
      </c>
      <c r="AI9" s="95">
        <v>2.4300000000000002</v>
      </c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291"/>
      <c r="AW9" s="291"/>
      <c r="AX9" s="291"/>
      <c r="AY9" s="276"/>
      <c r="AZ9" s="276"/>
      <c r="BA9" s="276"/>
      <c r="BB9" s="276"/>
      <c r="BC9" s="276"/>
      <c r="BD9" s="276"/>
      <c r="BE9" s="276"/>
      <c r="BF9" s="276"/>
      <c r="BG9" s="276"/>
    </row>
    <row r="10" spans="1:59" ht="15" customHeight="1" x14ac:dyDescent="0.4">
      <c r="A10" s="283"/>
      <c r="B10" s="284"/>
      <c r="C10" s="284"/>
      <c r="D10" s="284"/>
      <c r="E10" s="768"/>
      <c r="F10" s="768"/>
      <c r="G10" s="768"/>
      <c r="H10" s="768"/>
      <c r="I10" s="768"/>
      <c r="J10" s="768"/>
      <c r="K10" s="768"/>
      <c r="L10" s="769"/>
      <c r="M10" s="768"/>
      <c r="N10" s="768"/>
      <c r="O10" s="768"/>
      <c r="P10" s="768"/>
      <c r="Q10" s="768"/>
      <c r="R10" s="2239"/>
      <c r="S10" s="2240"/>
      <c r="T10" s="379"/>
      <c r="U10" s="561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291"/>
      <c r="AW10" s="291"/>
      <c r="AX10" s="291"/>
      <c r="AY10" s="276"/>
      <c r="AZ10" s="276"/>
      <c r="BA10" s="276"/>
      <c r="BB10" s="276"/>
      <c r="BC10" s="276"/>
      <c r="BD10" s="276"/>
      <c r="BE10" s="276"/>
      <c r="BF10" s="276"/>
      <c r="BG10" s="276"/>
    </row>
    <row r="11" spans="1:59" ht="27" customHeight="1" x14ac:dyDescent="0.4">
      <c r="A11" s="2081" t="s">
        <v>260</v>
      </c>
      <c r="B11" s="2069" t="s">
        <v>71</v>
      </c>
      <c r="C11" s="2069" t="s">
        <v>23</v>
      </c>
      <c r="D11" s="2069" t="s">
        <v>72</v>
      </c>
      <c r="E11" s="2071" t="s">
        <v>73</v>
      </c>
      <c r="F11" s="2072"/>
      <c r="G11" s="2072"/>
      <c r="H11" s="2072"/>
      <c r="I11" s="2072"/>
      <c r="J11" s="2072"/>
      <c r="K11" s="2072"/>
      <c r="L11" s="2072"/>
      <c r="M11" s="2072"/>
      <c r="N11" s="2072"/>
      <c r="O11" s="2072"/>
      <c r="P11" s="2072"/>
      <c r="Q11" s="2072"/>
      <c r="R11" s="2239"/>
      <c r="S11" s="2240"/>
      <c r="T11" s="379"/>
      <c r="U11" s="561"/>
      <c r="V11" s="2242" t="s">
        <v>590</v>
      </c>
      <c r="W11" s="2242"/>
      <c r="X11" s="2242"/>
      <c r="Y11" s="2242" t="s">
        <v>591</v>
      </c>
      <c r="Z11" s="2242"/>
      <c r="AA11" s="773" t="s">
        <v>592</v>
      </c>
      <c r="AB11" s="773" t="s">
        <v>593</v>
      </c>
      <c r="AC11" s="2243" t="s">
        <v>594</v>
      </c>
      <c r="AD11" s="2243"/>
      <c r="AE11" s="2243"/>
      <c r="AF11" s="2243"/>
      <c r="AG11" s="2243"/>
      <c r="AH11" s="774" t="s">
        <v>595</v>
      </c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291"/>
      <c r="AW11" s="291"/>
      <c r="AX11" s="291"/>
      <c r="AY11" s="276"/>
      <c r="AZ11" s="276"/>
      <c r="BA11" s="276"/>
      <c r="BB11" s="276"/>
      <c r="BC11" s="276"/>
      <c r="BD11" s="276"/>
      <c r="BE11" s="276"/>
      <c r="BF11" s="276"/>
      <c r="BG11" s="276"/>
    </row>
    <row r="12" spans="1:59" ht="27" customHeight="1" x14ac:dyDescent="0.4">
      <c r="A12" s="2081"/>
      <c r="B12" s="2070"/>
      <c r="C12" s="2070"/>
      <c r="D12" s="2070"/>
      <c r="E12" s="149">
        <v>3</v>
      </c>
      <c r="F12" s="280">
        <v>3.5</v>
      </c>
      <c r="G12" s="149">
        <v>4</v>
      </c>
      <c r="H12" s="149">
        <v>4.5</v>
      </c>
      <c r="I12" s="149">
        <v>5</v>
      </c>
      <c r="J12" s="149">
        <v>5.5</v>
      </c>
      <c r="K12" s="149">
        <v>6</v>
      </c>
      <c r="L12" s="149">
        <v>6.5</v>
      </c>
      <c r="M12" s="149">
        <v>7</v>
      </c>
      <c r="N12" s="149">
        <v>7.5</v>
      </c>
      <c r="O12" s="149">
        <v>8</v>
      </c>
      <c r="P12" s="280">
        <v>8.5</v>
      </c>
      <c r="Q12" s="280">
        <v>9</v>
      </c>
      <c r="R12" s="2239"/>
      <c r="S12" s="2240"/>
      <c r="T12" s="379"/>
      <c r="U12" s="561"/>
      <c r="V12" s="560">
        <v>0.35</v>
      </c>
      <c r="W12" s="560">
        <v>0.35</v>
      </c>
      <c r="X12" s="560">
        <v>0.25</v>
      </c>
      <c r="Y12" s="560">
        <v>0.25</v>
      </c>
      <c r="Z12" s="560">
        <v>0.25</v>
      </c>
      <c r="AA12" s="560">
        <v>0.2</v>
      </c>
      <c r="AB12" s="560">
        <v>0.2</v>
      </c>
      <c r="AC12" s="560">
        <v>0.2</v>
      </c>
      <c r="AD12" s="560">
        <v>0.2</v>
      </c>
      <c r="AE12" s="560">
        <v>0.2</v>
      </c>
      <c r="AF12" s="560">
        <v>0.2</v>
      </c>
      <c r="AG12" s="560">
        <v>0.2</v>
      </c>
      <c r="AH12" s="560">
        <v>0</v>
      </c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291"/>
      <c r="AW12" s="291"/>
      <c r="AX12" s="291"/>
      <c r="AY12" s="276"/>
      <c r="AZ12" s="276"/>
      <c r="BA12" s="276"/>
      <c r="BB12" s="276"/>
      <c r="BC12" s="276"/>
      <c r="BD12" s="276"/>
      <c r="BE12" s="276"/>
      <c r="BF12" s="276"/>
      <c r="BG12" s="276"/>
    </row>
    <row r="13" spans="1:59" ht="90" customHeight="1" x14ac:dyDescent="0.4">
      <c r="A13" s="760"/>
      <c r="B13" s="761" t="s">
        <v>583</v>
      </c>
      <c r="C13" s="761" t="s">
        <v>584</v>
      </c>
      <c r="D13" s="822">
        <v>2.0299999999999998</v>
      </c>
      <c r="E13" s="764">
        <f t="shared" ref="E13:Q13" si="4">IF(V13&gt;0,ROUND(V13*($U$1*(1+$U13+V$12))*BelarusV_LFpe*(1-$B$59),0),"-")</f>
        <v>77499</v>
      </c>
      <c r="F13" s="764">
        <f t="shared" si="4"/>
        <v>82056</v>
      </c>
      <c r="G13" s="764">
        <f t="shared" si="4"/>
        <v>83470</v>
      </c>
      <c r="H13" s="764">
        <f t="shared" si="4"/>
        <v>125636</v>
      </c>
      <c r="I13" s="764">
        <f t="shared" si="4"/>
        <v>131177</v>
      </c>
      <c r="J13" s="764">
        <f t="shared" si="4"/>
        <v>157399</v>
      </c>
      <c r="K13" s="764">
        <f t="shared" si="4"/>
        <v>169349</v>
      </c>
      <c r="L13" s="764">
        <f t="shared" si="4"/>
        <v>176493</v>
      </c>
      <c r="M13" s="764">
        <f t="shared" si="4"/>
        <v>221765</v>
      </c>
      <c r="N13" s="764">
        <f t="shared" si="4"/>
        <v>229651</v>
      </c>
      <c r="O13" s="764">
        <f t="shared" si="4"/>
        <v>237523</v>
      </c>
      <c r="P13" s="764">
        <f t="shared" si="4"/>
        <v>245389</v>
      </c>
      <c r="Q13" s="779" t="str">
        <f t="shared" si="4"/>
        <v>-</v>
      </c>
      <c r="R13" s="2239"/>
      <c r="S13" s="2240"/>
      <c r="T13" s="379"/>
      <c r="U13" s="561">
        <v>0</v>
      </c>
      <c r="V13" s="775">
        <v>99.32</v>
      </c>
      <c r="W13" s="775">
        <v>105.16</v>
      </c>
      <c r="X13" s="775">
        <v>115.53</v>
      </c>
      <c r="Y13" s="775">
        <v>173.89</v>
      </c>
      <c r="Z13" s="775">
        <v>181.56</v>
      </c>
      <c r="AA13" s="775">
        <v>226.93</v>
      </c>
      <c r="AB13" s="775">
        <v>244.16</v>
      </c>
      <c r="AC13" s="775">
        <v>254.46</v>
      </c>
      <c r="AD13" s="775">
        <v>319.73</v>
      </c>
      <c r="AE13" s="775">
        <v>331.1</v>
      </c>
      <c r="AF13" s="775">
        <v>342.45</v>
      </c>
      <c r="AG13" s="775">
        <v>353.79</v>
      </c>
      <c r="AH13" s="559"/>
      <c r="AI13" s="286">
        <v>2.0299999999999998</v>
      </c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291"/>
      <c r="AW13" s="291"/>
      <c r="AX13" s="291"/>
      <c r="AY13" s="276"/>
      <c r="AZ13" s="276"/>
      <c r="BA13" s="276"/>
      <c r="BB13" s="276"/>
      <c r="BC13" s="276"/>
      <c r="BD13" s="276"/>
      <c r="BE13" s="276"/>
      <c r="BF13" s="276"/>
      <c r="BG13" s="276"/>
    </row>
    <row r="14" spans="1:59" ht="15" customHeight="1" x14ac:dyDescent="0.4">
      <c r="A14" s="283"/>
      <c r="B14" s="284"/>
      <c r="C14" s="284"/>
      <c r="D14" s="284"/>
      <c r="E14" s="284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239"/>
      <c r="S14" s="2240"/>
      <c r="T14" s="282"/>
      <c r="U14" s="282"/>
      <c r="AJ14" s="95"/>
    </row>
    <row r="15" spans="1:59" ht="24.95" customHeight="1" x14ac:dyDescent="0.4">
      <c r="A15" s="2147" t="s">
        <v>260</v>
      </c>
      <c r="B15" s="2069" t="s">
        <v>71</v>
      </c>
      <c r="C15" s="2069" t="s">
        <v>23</v>
      </c>
      <c r="D15" s="2069" t="s">
        <v>72</v>
      </c>
      <c r="E15" s="2081" t="s">
        <v>73</v>
      </c>
      <c r="F15" s="2081"/>
      <c r="G15" s="2081"/>
      <c r="H15" s="2081"/>
      <c r="I15" s="2081"/>
      <c r="K15" s="2147" t="s">
        <v>260</v>
      </c>
      <c r="L15" s="2141" t="s">
        <v>71</v>
      </c>
      <c r="M15" s="2201"/>
      <c r="N15" s="2141" t="s">
        <v>23</v>
      </c>
      <c r="O15" s="2201"/>
      <c r="P15" s="2069" t="s">
        <v>72</v>
      </c>
      <c r="Q15" s="2147" t="s">
        <v>73</v>
      </c>
      <c r="R15" s="2239"/>
      <c r="S15" s="2240"/>
      <c r="T15" s="413"/>
      <c r="U15" s="285"/>
      <c r="X15" s="580"/>
      <c r="AB15" s="580"/>
      <c r="AH15"/>
    </row>
    <row r="16" spans="1:59" ht="24.95" customHeight="1" x14ac:dyDescent="0.4">
      <c r="A16" s="2199"/>
      <c r="B16" s="2229"/>
      <c r="C16" s="2229"/>
      <c r="D16" s="2229"/>
      <c r="E16" s="2209" t="s">
        <v>732</v>
      </c>
      <c r="F16" s="2209"/>
      <c r="G16" s="2209"/>
      <c r="H16" s="2209"/>
      <c r="I16" s="886" t="s">
        <v>733</v>
      </c>
      <c r="K16" s="2199"/>
      <c r="L16" s="2202"/>
      <c r="M16" s="2203"/>
      <c r="N16" s="2202"/>
      <c r="O16" s="2203"/>
      <c r="P16" s="2229"/>
      <c r="Q16" s="2148"/>
      <c r="R16" s="2239"/>
      <c r="S16" s="2240"/>
      <c r="T16" s="413"/>
      <c r="U16" s="285"/>
      <c r="AH16"/>
    </row>
    <row r="17" spans="1:43" ht="27" customHeight="1" x14ac:dyDescent="0.4">
      <c r="A17" s="2199"/>
      <c r="B17" s="2200"/>
      <c r="C17" s="2200"/>
      <c r="D17" s="2200"/>
      <c r="E17" s="2230">
        <v>1</v>
      </c>
      <c r="F17" s="2231"/>
      <c r="G17" s="895">
        <v>1.25</v>
      </c>
      <c r="H17" s="895">
        <v>1.5</v>
      </c>
      <c r="I17" s="896">
        <v>1</v>
      </c>
      <c r="K17" s="2199"/>
      <c r="L17" s="2202"/>
      <c r="M17" s="2203"/>
      <c r="N17" s="2202"/>
      <c r="O17" s="2203"/>
      <c r="P17" s="2229"/>
      <c r="Q17" s="966">
        <v>1</v>
      </c>
      <c r="R17" s="2239"/>
      <c r="S17" s="2240"/>
      <c r="T17" s="285"/>
      <c r="U17" s="282"/>
      <c r="V17" s="286"/>
      <c r="W17" s="776" t="s">
        <v>596</v>
      </c>
      <c r="X17" s="56"/>
      <c r="Y17" s="287" t="s">
        <v>597</v>
      </c>
      <c r="AA17"/>
      <c r="AI17" s="291"/>
      <c r="AJ17" s="291"/>
    </row>
    <row r="18" spans="1:43" ht="27" customHeight="1" x14ac:dyDescent="0.4">
      <c r="A18" s="2148"/>
      <c r="B18" s="2070"/>
      <c r="C18" s="2070"/>
      <c r="D18" s="2070"/>
      <c r="E18" s="149" t="s">
        <v>265</v>
      </c>
      <c r="F18" s="149" t="s">
        <v>266</v>
      </c>
      <c r="G18" s="762" t="s">
        <v>266</v>
      </c>
      <c r="H18" s="762" t="s">
        <v>266</v>
      </c>
      <c r="I18" s="888" t="s">
        <v>266</v>
      </c>
      <c r="K18" s="2148"/>
      <c r="L18" s="2142"/>
      <c r="M18" s="2204"/>
      <c r="N18" s="2142"/>
      <c r="O18" s="2204"/>
      <c r="P18" s="2070"/>
      <c r="Q18" s="149" t="s">
        <v>266</v>
      </c>
      <c r="R18" s="2239"/>
      <c r="S18" s="2240"/>
      <c r="U18" s="285">
        <v>769</v>
      </c>
      <c r="V18" s="472"/>
      <c r="W18" s="776"/>
      <c r="X18" s="593" t="s">
        <v>457</v>
      </c>
      <c r="Y18" s="777"/>
      <c r="AA18"/>
      <c r="AC18" s="496"/>
      <c r="AI18" s="291"/>
      <c r="AJ18" s="291"/>
    </row>
    <row r="19" spans="1:43" ht="27" customHeight="1" x14ac:dyDescent="0.4">
      <c r="A19" s="2078"/>
      <c r="B19" s="2090" t="s">
        <v>393</v>
      </c>
      <c r="C19" s="2090" t="s">
        <v>436</v>
      </c>
      <c r="D19" s="393">
        <v>1.03</v>
      </c>
      <c r="E19" s="536">
        <f>IF(W19&gt;0,ROUND((W19*($U$18*(1+$U19+W$18))-$X$19)*BelarusV_LFpe*(1-$B$59),0),"-")</f>
        <v>18811</v>
      </c>
      <c r="F19" s="537">
        <f>IF(W19&gt;0,ROUND(W19*($U$18*(1+$U19+W$18))*BelarusV_LFpe*(1-$B$59),0),"-")</f>
        <v>28811</v>
      </c>
      <c r="G19" s="536">
        <f>IF(W19&gt;0,ROUND(W19*($U$18*(1+$U19+W$18)*1.15)*BelarusV_LFpe*(1-$B$59),0),"-")</f>
        <v>33133</v>
      </c>
      <c r="H19" s="536">
        <f>IF(W19&gt;0,ROUND(W19*($U$18*(1+$U19+W$18)*1.25)*BelarusV_LFpe*(1-$B$59),0),"-")</f>
        <v>36014</v>
      </c>
      <c r="I19" s="889">
        <f>IF(W19&gt;0,ROUND((W19*($U$18*(1+$U19+W$18))+'Эл-ты панельных ограждений - 2'!$H$24*2)*BelarusV_LFpe*(1-$B$59),0),"-")</f>
        <v>32013</v>
      </c>
      <c r="K19" s="892"/>
      <c r="L19" s="1385" t="s">
        <v>585</v>
      </c>
      <c r="M19" s="1387"/>
      <c r="N19" s="1385" t="s">
        <v>586</v>
      </c>
      <c r="O19" s="1387"/>
      <c r="P19" s="1454">
        <v>2.0299999999999998</v>
      </c>
      <c r="Q19" s="2226">
        <f>IF(Y22&gt;0,ROUND((Y22*($U$18*(1+$X22+Y$18)))*BelarusV_LFpe*(1-$B$59),0),"-")</f>
        <v>49111</v>
      </c>
      <c r="R19" s="2239"/>
      <c r="S19" s="2240"/>
      <c r="T19" s="562"/>
      <c r="U19" s="561">
        <v>0.3</v>
      </c>
      <c r="V19" s="95">
        <v>1.03</v>
      </c>
      <c r="W19" s="559">
        <v>28.82</v>
      </c>
      <c r="X19" s="273">
        <v>10000</v>
      </c>
      <c r="Y19" s="292"/>
      <c r="Z19" s="588"/>
      <c r="AA19"/>
      <c r="AC19" s="291"/>
      <c r="AD19" s="291"/>
      <c r="AE19" s="291"/>
      <c r="AF19" s="291"/>
      <c r="AG19" s="291"/>
      <c r="AH19" s="291"/>
      <c r="AI19" s="291"/>
      <c r="AJ19" s="291"/>
    </row>
    <row r="20" spans="1:43" ht="27" customHeight="1" x14ac:dyDescent="0.4">
      <c r="A20" s="2078"/>
      <c r="B20" s="2090"/>
      <c r="C20" s="2090"/>
      <c r="D20" s="394">
        <v>1.53</v>
      </c>
      <c r="E20" s="538">
        <f>IF(W20&gt;0,ROUND((W20*($U$18*(1+$U20+W$18))-$X$19)*BelarusV_LFpe*(1-$B$59),0),"-")</f>
        <v>25892</v>
      </c>
      <c r="F20" s="539">
        <f>IF(W20&gt;0,ROUND(W20*($U$18*(1+$U20+W$18))*BelarusV_LFpe*(1-$B$59),0),"-")</f>
        <v>35892</v>
      </c>
      <c r="G20" s="538">
        <f t="shared" ref="G20:G23" si="5">IF(W20&gt;0,ROUND(W20*($U$18*(1+$U20+W$18)*1.15)*BelarusV_LFpe*(1-$B$59),0),"-")</f>
        <v>41276</v>
      </c>
      <c r="H20" s="538">
        <f t="shared" ref="H20:H23" si="6">IF(W20&gt;0,ROUND(W20*($U$18*(1+$U20+W$18)*1.25)*BelarusV_LFpe*(1-$B$59),0),"-")</f>
        <v>44865</v>
      </c>
      <c r="I20" s="890">
        <f>IF(W20&gt;0,ROUND((W20*($U$18*(1+$U20+W$18))+'Эл-ты панельных ограждений - 2'!$H$24*2)*BelarusV_LFpe*(1-$B$59),0),"-")</f>
        <v>39094</v>
      </c>
      <c r="K20" s="893"/>
      <c r="L20" s="1570"/>
      <c r="M20" s="1571"/>
      <c r="N20" s="1570"/>
      <c r="O20" s="1571"/>
      <c r="P20" s="1615"/>
      <c r="Q20" s="2227"/>
      <c r="R20" s="2239"/>
      <c r="S20" s="2240"/>
      <c r="T20" s="562"/>
      <c r="U20" s="561">
        <v>7.0000000000000007E-2</v>
      </c>
      <c r="V20" s="95">
        <v>1.53</v>
      </c>
      <c r="W20" s="559">
        <v>43.62</v>
      </c>
      <c r="X20" s="350"/>
      <c r="Y20" s="292"/>
      <c r="Z20" s="588"/>
      <c r="AA20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</row>
    <row r="21" spans="1:43" ht="27" customHeight="1" x14ac:dyDescent="0.4">
      <c r="A21" s="2078"/>
      <c r="B21" s="2090"/>
      <c r="C21" s="2090"/>
      <c r="D21" s="394">
        <v>1.73</v>
      </c>
      <c r="E21" s="538">
        <f>IF(W21&gt;0,ROUND((W21*($U$18*(1+$U21+W$18))-$X$19)*BelarusV_LFpe*(1-$B$59),0),"-")</f>
        <v>30588</v>
      </c>
      <c r="F21" s="539">
        <f>IF(W21&gt;0,ROUND(W21*($U$18*(1+$U21+W$18))*BelarusV_LFpe*(1-$B$59),0),"-")</f>
        <v>40588</v>
      </c>
      <c r="G21" s="538">
        <f t="shared" si="5"/>
        <v>46676</v>
      </c>
      <c r="H21" s="538">
        <f t="shared" si="6"/>
        <v>50735</v>
      </c>
      <c r="I21" s="890">
        <f>IF(W21&gt;0,ROUND((W21*($U$18*(1+$U21+W$18))+'Эл-ты панельных ограждений - 2'!$H$24*2)*BelarusV_LFpe*(1-$B$59),0),"-")</f>
        <v>43790</v>
      </c>
      <c r="K21" s="893"/>
      <c r="L21" s="1570"/>
      <c r="M21" s="1571"/>
      <c r="N21" s="1570"/>
      <c r="O21" s="1571"/>
      <c r="P21" s="1615"/>
      <c r="Q21" s="2227"/>
      <c r="R21" s="2239"/>
      <c r="S21" s="2240"/>
      <c r="T21" s="562"/>
      <c r="U21" s="561">
        <v>0.04</v>
      </c>
      <c r="V21" s="95">
        <v>1.73</v>
      </c>
      <c r="W21" s="559">
        <v>50.75</v>
      </c>
      <c r="X21" s="350"/>
      <c r="Y21" s="292"/>
      <c r="Z21" s="588"/>
      <c r="AA2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</row>
    <row r="22" spans="1:43" ht="27" customHeight="1" x14ac:dyDescent="0.4">
      <c r="A22" s="2078"/>
      <c r="B22" s="2090"/>
      <c r="C22" s="2090"/>
      <c r="D22" s="394">
        <v>2.0299999999999998</v>
      </c>
      <c r="E22" s="538">
        <f>IF(W22&gt;0,ROUND((W22*($U$18*(1+$U22+W$18))-$X$19)*BelarusV_LFpe*(1-$B$59),0),"-")</f>
        <v>33041</v>
      </c>
      <c r="F22" s="539" t="str">
        <f>IF(W22&gt;0,ROUND(W22*($U$18*(1+$U22+W$18))*BelarusV_LFpe*(1-$B$59),0),"-")&amp;"* **"</f>
        <v>43041* **</v>
      </c>
      <c r="G22" s="538" t="str">
        <f>IF(W22&gt;0,ROUND(W22*($U$18*(1+$U22+W$18)*1.15)*BelarusV_LFpe*(1-$B$59),0),"-")&amp;"*"</f>
        <v>49497*</v>
      </c>
      <c r="H22" s="538">
        <f t="shared" si="6"/>
        <v>53801</v>
      </c>
      <c r="I22" s="890">
        <f>IF(W22&gt;0,ROUND((W22*($U$18*(1+$U22+W$18))+'Эл-ты панельных ограждений - 2'!$H$24*2)*BelarusV_LFpe*(1-$B$59),0),"-")</f>
        <v>46243</v>
      </c>
      <c r="K22" s="893"/>
      <c r="L22" s="1570"/>
      <c r="M22" s="1571"/>
      <c r="N22" s="1570"/>
      <c r="O22" s="1571"/>
      <c r="P22" s="1615"/>
      <c r="Q22" s="2227"/>
      <c r="R22" s="2239"/>
      <c r="S22" s="2240"/>
      <c r="T22" s="562"/>
      <c r="U22" s="561">
        <v>0</v>
      </c>
      <c r="V22" s="95">
        <v>2.0299999999999998</v>
      </c>
      <c r="W22" s="559">
        <v>55.97</v>
      </c>
      <c r="X22" s="350">
        <v>0.2</v>
      </c>
      <c r="Y22" s="778">
        <v>53.22</v>
      </c>
      <c r="Z22" s="588"/>
      <c r="AA22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</row>
    <row r="23" spans="1:43" ht="27" customHeight="1" x14ac:dyDescent="0.4">
      <c r="A23" s="2132"/>
      <c r="B23" s="1454"/>
      <c r="C23" s="1454"/>
      <c r="D23" s="863">
        <v>2.4300000000000002</v>
      </c>
      <c r="E23" s="770">
        <f>IF(W23&gt;0,ROUND((W23*($U$18*(1+$U23+W$18))-$X$19)*BelarusV_LFpe*(1-$B$59),0),"-")</f>
        <v>36148</v>
      </c>
      <c r="F23" s="771" t="str">
        <f>IF(W23&gt;0,ROUND(W23*($U$18*(1+$U23+W$18))*BelarusV_LFpe*(1-$B$59),0),"-")&amp;"*"</f>
        <v>46148*</v>
      </c>
      <c r="G23" s="770">
        <f t="shared" si="5"/>
        <v>53070</v>
      </c>
      <c r="H23" s="770">
        <f t="shared" si="6"/>
        <v>57685</v>
      </c>
      <c r="I23" s="891">
        <f>IF(W23&gt;0,ROUND((W23*($U$18*(1+$U23+W$18))+'Эл-ты панельных ограждений - 2'!$H$24*2)*BelarusV_LFpe*(1-$B$59),0),"-")</f>
        <v>49350</v>
      </c>
      <c r="K23" s="894"/>
      <c r="L23" s="1572"/>
      <c r="M23" s="1573"/>
      <c r="N23" s="1572"/>
      <c r="O23" s="1573"/>
      <c r="P23" s="1455"/>
      <c r="Q23" s="2228"/>
      <c r="R23" s="2239"/>
      <c r="S23" s="2240"/>
      <c r="T23" s="562"/>
      <c r="U23" s="561">
        <v>0</v>
      </c>
      <c r="V23" s="95">
        <v>2.4300000000000002</v>
      </c>
      <c r="W23" s="559">
        <v>60.01</v>
      </c>
      <c r="X23" s="350"/>
      <c r="Y23" s="292"/>
      <c r="Z23" s="588"/>
      <c r="AA23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</row>
    <row r="24" spans="1:43" ht="27" customHeight="1" x14ac:dyDescent="0.4">
      <c r="A24" s="2084" t="s">
        <v>376</v>
      </c>
      <c r="B24" s="2085"/>
      <c r="C24" s="2085"/>
      <c r="D24" s="2085"/>
      <c r="E24" s="2085"/>
      <c r="F24" s="2085"/>
      <c r="G24" s="2085"/>
      <c r="H24" s="2085"/>
      <c r="I24" s="2086"/>
      <c r="J24" s="898"/>
      <c r="K24" s="2084" t="s">
        <v>760</v>
      </c>
      <c r="L24" s="2085"/>
      <c r="M24" s="2085"/>
      <c r="N24" s="2085"/>
      <c r="O24" s="2085"/>
      <c r="P24" s="2085"/>
      <c r="Q24" s="2086"/>
      <c r="R24" s="2241"/>
      <c r="S24" s="1453"/>
      <c r="T24" s="562"/>
      <c r="U24" s="282"/>
      <c r="W24"/>
      <c r="X24" s="291"/>
      <c r="AA24"/>
      <c r="AC24"/>
      <c r="AD24"/>
      <c r="AE24"/>
      <c r="AF24"/>
      <c r="AG24"/>
      <c r="AH24" s="291"/>
      <c r="AI24" s="291"/>
      <c r="AJ24" s="291"/>
    </row>
    <row r="25" spans="1:43" ht="15" customHeight="1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S25" s="432"/>
      <c r="T25" s="432"/>
      <c r="U25" s="282"/>
      <c r="W25"/>
      <c r="X25"/>
      <c r="AA25"/>
      <c r="AB25"/>
      <c r="AC25"/>
      <c r="AD25"/>
      <c r="AE25"/>
      <c r="AF25"/>
      <c r="AG25"/>
      <c r="AH25" s="291"/>
    </row>
    <row r="26" spans="1:43" ht="30" customHeight="1" x14ac:dyDescent="0.4">
      <c r="A26" s="2147" t="s">
        <v>260</v>
      </c>
      <c r="B26" s="2139" t="s">
        <v>71</v>
      </c>
      <c r="C26" s="2147" t="s">
        <v>23</v>
      </c>
      <c r="D26" s="2141" t="s">
        <v>72</v>
      </c>
      <c r="E26" s="2201"/>
      <c r="F26" s="2081" t="s">
        <v>73</v>
      </c>
      <c r="G26" s="2081"/>
      <c r="H26" s="2081"/>
      <c r="I26" s="2081"/>
      <c r="J26" s="2081"/>
      <c r="K26" s="2081"/>
      <c r="L26" s="2081"/>
      <c r="M26" s="2081"/>
      <c r="N26" s="2081"/>
      <c r="O26" s="2071"/>
      <c r="P26" s="2205" t="s">
        <v>264</v>
      </c>
      <c r="Q26" s="2206"/>
      <c r="R26" s="2210" t="s">
        <v>268</v>
      </c>
      <c r="S26" s="2210"/>
      <c r="T26" s="432"/>
      <c r="U26" s="282"/>
      <c r="V26"/>
      <c r="W26" s="316"/>
      <c r="X26"/>
      <c r="Z26" s="313"/>
      <c r="AA26"/>
      <c r="AB26"/>
      <c r="AC26"/>
      <c r="AD26"/>
      <c r="AE26"/>
      <c r="AF26"/>
      <c r="AG26"/>
      <c r="AH26"/>
    </row>
    <row r="27" spans="1:43" ht="30" customHeight="1" x14ac:dyDescent="0.4">
      <c r="A27" s="2199"/>
      <c r="B27" s="2200"/>
      <c r="C27" s="2199"/>
      <c r="D27" s="2202"/>
      <c r="E27" s="2203"/>
      <c r="F27" s="437">
        <v>3.5</v>
      </c>
      <c r="G27" s="438"/>
      <c r="H27" s="437">
        <v>4</v>
      </c>
      <c r="I27" s="438"/>
      <c r="J27" s="437">
        <v>4.5</v>
      </c>
      <c r="K27" s="438"/>
      <c r="L27" s="437">
        <v>5</v>
      </c>
      <c r="M27" s="438"/>
      <c r="N27" s="437">
        <v>6</v>
      </c>
      <c r="O27" s="440"/>
      <c r="P27" s="2207"/>
      <c r="Q27" s="2208"/>
      <c r="R27" s="2210"/>
      <c r="S27" s="2210"/>
      <c r="T27" s="432"/>
      <c r="U27" s="282"/>
      <c r="V27" s="95">
        <v>3.5</v>
      </c>
      <c r="W27" s="95">
        <v>4</v>
      </c>
      <c r="X27" s="95">
        <v>4.5</v>
      </c>
      <c r="Y27" s="95">
        <v>5</v>
      </c>
      <c r="Z27" s="95">
        <v>6</v>
      </c>
      <c r="AA27" s="593" t="s">
        <v>457</v>
      </c>
    </row>
    <row r="28" spans="1:43" ht="30" customHeight="1" x14ac:dyDescent="0.4">
      <c r="A28" s="2148"/>
      <c r="B28" s="2140"/>
      <c r="C28" s="2148"/>
      <c r="D28" s="2142"/>
      <c r="E28" s="2204"/>
      <c r="F28" s="763" t="s">
        <v>265</v>
      </c>
      <c r="G28" s="763" t="s">
        <v>266</v>
      </c>
      <c r="H28" s="763" t="s">
        <v>265</v>
      </c>
      <c r="I28" s="430" t="s">
        <v>266</v>
      </c>
      <c r="J28" s="763" t="s">
        <v>265</v>
      </c>
      <c r="K28" s="763" t="s">
        <v>266</v>
      </c>
      <c r="L28" s="763" t="s">
        <v>265</v>
      </c>
      <c r="M28" s="763" t="s">
        <v>266</v>
      </c>
      <c r="N28" s="763" t="s">
        <v>265</v>
      </c>
      <c r="O28" s="763" t="s">
        <v>266</v>
      </c>
      <c r="P28" s="2211" t="s">
        <v>564</v>
      </c>
      <c r="Q28" s="2212"/>
      <c r="R28" s="2217" t="s">
        <v>565</v>
      </c>
      <c r="S28" s="2212"/>
      <c r="T28" s="584"/>
      <c r="U28" s="584">
        <v>772</v>
      </c>
      <c r="V28" s="579">
        <v>0</v>
      </c>
      <c r="W28" s="579">
        <v>0</v>
      </c>
      <c r="X28" s="579">
        <v>0</v>
      </c>
      <c r="Y28" s="579">
        <v>-0.1</v>
      </c>
      <c r="Z28" s="579">
        <v>-0.2</v>
      </c>
      <c r="AA28" s="273">
        <v>4000</v>
      </c>
      <c r="AD28" s="579"/>
    </row>
    <row r="29" spans="1:43" ht="27.95" customHeight="1" x14ac:dyDescent="0.4">
      <c r="A29" s="300"/>
      <c r="B29" s="1454" t="s">
        <v>356</v>
      </c>
      <c r="C29" s="1385" t="s">
        <v>267</v>
      </c>
      <c r="D29" s="2220">
        <v>1.03</v>
      </c>
      <c r="E29" s="2221"/>
      <c r="F29" s="536">
        <f>IF(V29&gt;0,ROUND((V29*($U$28*(1+$U29+V$28))-$AA$28)*BelarusV_Mpe*(1-$B$59),0),"-")</f>
        <v>34362</v>
      </c>
      <c r="G29" s="541">
        <f>IF(V29&gt;0,ROUND(V29*($U$28*(1+$U29+V$28))*BelarusV_Mpe*(1-$B$59),0),"-")</f>
        <v>38362</v>
      </c>
      <c r="H29" s="536">
        <f>IF(W29&gt;0,ROUND((W29*($U$28*(1+$U29+W$28))-$AA$28)*BelarusV_Mpe*(1-$B$59),0),"-")</f>
        <v>37475</v>
      </c>
      <c r="I29" s="541">
        <f>IF(W29&gt;0,ROUND(W29*($U$28*(1+$U29+W$28))*BelarusV_Mpe*(1-$B$59),0),"-")</f>
        <v>41475</v>
      </c>
      <c r="J29" s="542" t="str">
        <f>IF(X29&gt;0,ROUND((X29*($U$28*(1+$U29+X$28))-$AA$28)*BelarusV_Mpe*(1-$B$59),0),"-")</f>
        <v>-</v>
      </c>
      <c r="K29" s="542" t="str">
        <f>IF(X29&gt;0,ROUND(X29*($U$28*(1+$U29+X$28))*BelarusV_Mpe*(1-$B$59),0),"-")</f>
        <v>-</v>
      </c>
      <c r="L29" s="542" t="str">
        <f>IF(Y29&gt;0,ROUND((Y29*($U$28*(1+$U29+Y$28))-$AA$28)*BelarusV_Mpe*(1-$B$59),0),"-")</f>
        <v>-</v>
      </c>
      <c r="M29" s="543" t="str">
        <f>IF(Y29&gt;0,ROUND(Y29*($U$28*(1+$U29+Y$28))*BelarusV_Mpe*(1-$B$59),0),"-")</f>
        <v>-</v>
      </c>
      <c r="N29" s="542" t="str">
        <f>IF(Z29&gt;0,ROUND((Z29*($U$28*(1+$U29+Z$28))-$AA$28)*BelarusV_Mpe*(1-$B$59),0),"-")</f>
        <v>-</v>
      </c>
      <c r="O29" s="543" t="str">
        <f>IF(Z29&gt;0,ROUND(Z29*($U$28*(1+$U29+Z$28))*BelarusV_Mpe*(1-$B$59),0),"-")</f>
        <v>-</v>
      </c>
      <c r="P29" s="2213"/>
      <c r="Q29" s="2214"/>
      <c r="R29" s="2218"/>
      <c r="S29" s="2214"/>
      <c r="U29" s="579">
        <v>0.2</v>
      </c>
      <c r="V29" s="287">
        <v>41.41</v>
      </c>
      <c r="W29" s="559">
        <v>44.77</v>
      </c>
      <c r="X29" s="581"/>
      <c r="Y29" s="581"/>
      <c r="Z29" s="582"/>
      <c r="AA29" s="277">
        <v>1.03</v>
      </c>
      <c r="AB29" s="337"/>
      <c r="AD29" s="585"/>
      <c r="AI29" s="580"/>
      <c r="AJ29" s="95"/>
      <c r="AK29" s="580"/>
      <c r="AL29" s="580"/>
      <c r="AM29" s="95"/>
      <c r="AN29" s="580"/>
      <c r="AO29" s="95"/>
      <c r="AP29" s="580"/>
    </row>
    <row r="30" spans="1:43" ht="27.95" customHeight="1" x14ac:dyDescent="0.4">
      <c r="A30" s="301"/>
      <c r="B30" s="1615"/>
      <c r="C30" s="1570"/>
      <c r="D30" s="2222">
        <v>1.53</v>
      </c>
      <c r="E30" s="2223"/>
      <c r="F30" s="538">
        <f>IF(V30&gt;0,ROUND((V30*($U$28*(1+$U30+V$28))-$AA$28)*BelarusV_Mpe*(1-$B$59),0),"-")</f>
        <v>41407</v>
      </c>
      <c r="G30" s="587" t="str">
        <f>IF(V30&gt;0,ROUND(V30*($U$28*(1+$U30+V$28))*BelarusV_Mpe*(1-$B$59),0),"-")&amp;"*"</f>
        <v>45407*</v>
      </c>
      <c r="H30" s="538">
        <f>IF(W30&gt;0,ROUND((W30*($U$28*(1+$U30+W$28))-$AA$28)*BelarusV_Mpe*(1-$B$59),0),"-")</f>
        <v>44629</v>
      </c>
      <c r="I30" s="544" t="str">
        <f>IF(W30&gt;0,ROUND(W30*($U$28*(1+$U30+W$28))*BelarusV_Mpe*(1-$B$59),0),"-")&amp;"*"</f>
        <v>48629*</v>
      </c>
      <c r="J30" s="538">
        <f>IF(X30&gt;0,ROUND((X30*($U$28*(1+$U30+X$28))-$AA$28)*BelarusV_Mpe*(1-$B$59),0),"-")</f>
        <v>47074</v>
      </c>
      <c r="K30" s="538">
        <f>IF(X30&gt;0,ROUND(X30*($U$28*(1+$U30+X$28))*BelarusV_Mpe*(1-$B$59),0),"-")</f>
        <v>51074</v>
      </c>
      <c r="L30" s="538">
        <f>IF(Y30&gt;0,ROUND((Y30*($U$28*(1+$U30+Y$28))-$AA$28)*BelarusV_Mpe*(1-$B$59),0),"-")</f>
        <v>52260</v>
      </c>
      <c r="M30" s="766">
        <f>IF(Y30&gt;0,ROUND(Y30*($U$28*(1+$U30+Y$28))*BelarusV_Mpe*(1-$B$59),0),"-")</f>
        <v>56260</v>
      </c>
      <c r="N30" s="538">
        <f>IF(Z30&gt;0,ROUND((Z30*($U$28*(1+$U30+Z$28))-$AA$28)*BelarusV_Mpe*(1-$B$59),0),"-")</f>
        <v>63231</v>
      </c>
      <c r="O30" s="766">
        <f>IF(Z30&gt;0,ROUND(Z30*($U$28*(1+$U30+Z$28))*BelarusV_Mpe*(1-$B$59),0),"-")</f>
        <v>67231</v>
      </c>
      <c r="P30" s="2213"/>
      <c r="Q30" s="2214"/>
      <c r="R30" s="2218"/>
      <c r="S30" s="2214"/>
      <c r="U30" s="579">
        <v>7.0000000000000007E-2</v>
      </c>
      <c r="V30" s="287">
        <v>54.97</v>
      </c>
      <c r="W30" s="559">
        <v>58.87</v>
      </c>
      <c r="X30" s="559">
        <v>61.83</v>
      </c>
      <c r="Y30" s="559">
        <v>75.13</v>
      </c>
      <c r="Z30" s="583">
        <v>100.1</v>
      </c>
      <c r="AA30" s="364">
        <v>1.53</v>
      </c>
      <c r="AB30" s="291"/>
      <c r="AD30" s="586"/>
      <c r="AI30" s="580"/>
      <c r="AJ30" s="95"/>
      <c r="AK30" s="580"/>
      <c r="AL30" s="580"/>
      <c r="AM30" s="95"/>
      <c r="AN30" s="580"/>
      <c r="AO30" s="95"/>
      <c r="AP30" s="580"/>
    </row>
    <row r="31" spans="1:43" ht="27.95" customHeight="1" x14ac:dyDescent="0.4">
      <c r="A31" s="301"/>
      <c r="B31" s="1615"/>
      <c r="C31" s="1570"/>
      <c r="D31" s="2222">
        <v>1.73</v>
      </c>
      <c r="E31" s="2223"/>
      <c r="F31" s="538">
        <f>IF(V31&gt;0,ROUND((V31*($U$28*(1+$U31+V$28))-$AA$28)*BelarusV_Mpe*(1-$B$59),0),"-")</f>
        <v>46083</v>
      </c>
      <c r="G31" s="587" t="str">
        <f>IF(V31&gt;0,ROUND(V31*($U$28*(1+$U31+V$28))*BelarusV_Mpe*(1-$B$59),0),"-")&amp;"*"</f>
        <v>50083*</v>
      </c>
      <c r="H31" s="538">
        <f>IF(W31&gt;0,ROUND((W31*($U$28*(1+$U31+W$28))-$AA$28)*BelarusV_Mpe*(1-$B$59),0),"-")</f>
        <v>49503</v>
      </c>
      <c r="I31" s="544" t="str">
        <f>IF(W31&gt;0,ROUND(W31*($U$28*(1+$U31+W$28))*BelarusV_Mpe*(1-$B$59),0),"-")&amp;"*"</f>
        <v>53503*</v>
      </c>
      <c r="J31" s="538">
        <f>IF(X31&gt;0,ROUND((X31*($U$28*(1+$U31+X$28))-$AA$28)*BelarusV_Mpe*(1-$B$59),0),"-")</f>
        <v>52088</v>
      </c>
      <c r="K31" s="538">
        <f>IF(X31&gt;0,ROUND(X31*($U$28*(1+$U31+X$28))*BelarusV_Mpe*(1-$B$59),0),"-")</f>
        <v>56088</v>
      </c>
      <c r="L31" s="538">
        <f>IF(Y31&gt;0,ROUND((Y31*($U$28*(1+$U31+Y$28))-$AA$28)*BelarusV_Mpe*(1-$B$59),0),"-")</f>
        <v>57989</v>
      </c>
      <c r="M31" s="766">
        <f>IF(Y31&gt;0,ROUND(Y31*($U$28*(1+$U31+Y$28))*BelarusV_Mpe*(1-$B$59),0),"-")</f>
        <v>61989</v>
      </c>
      <c r="N31" s="538">
        <f>IF(Z31&gt;0,ROUND((Z31*($U$28*(1+$U31+Z$28))-$AA$28)*BelarusV_Mpe*(1-$B$59),0),"-")</f>
        <v>69397</v>
      </c>
      <c r="O31" s="766">
        <f>IF(Z31&gt;0,ROUND(Z31*($U$28*(1+$U31+Z$28))*BelarusV_Mpe*(1-$B$59),0),"-")</f>
        <v>73397</v>
      </c>
      <c r="P31" s="2213"/>
      <c r="Q31" s="2214"/>
      <c r="R31" s="2218"/>
      <c r="S31" s="2214"/>
      <c r="U31" s="579">
        <v>7.0000000000000007E-2</v>
      </c>
      <c r="V31" s="287">
        <v>60.63</v>
      </c>
      <c r="W31" s="559">
        <v>64.77</v>
      </c>
      <c r="X31" s="559">
        <v>67.900000000000006</v>
      </c>
      <c r="Y31" s="559">
        <v>82.78</v>
      </c>
      <c r="Z31" s="583">
        <v>109.28</v>
      </c>
      <c r="AA31" s="365">
        <v>1.73</v>
      </c>
      <c r="AB31" s="291"/>
      <c r="AD31" s="291"/>
      <c r="AI31" s="580"/>
      <c r="AJ31" s="95"/>
      <c r="AK31" s="580"/>
      <c r="AL31" s="580"/>
      <c r="AM31" s="95"/>
      <c r="AN31" s="580"/>
      <c r="AO31" s="95"/>
      <c r="AP31" s="580"/>
    </row>
    <row r="32" spans="1:43" ht="27.95" customHeight="1" x14ac:dyDescent="0.4">
      <c r="A32" s="301"/>
      <c r="B32" s="1615"/>
      <c r="C32" s="1570"/>
      <c r="D32" s="2222">
        <v>2.0299999999999998</v>
      </c>
      <c r="E32" s="2223"/>
      <c r="F32" s="538">
        <f>IF(V32&gt;0,ROUND((V32*($U$28*(1+$U32+V$28))-$AA$28)*BelarusV_Mpe*(1-$B$59),0),"-")</f>
        <v>49855</v>
      </c>
      <c r="G32" s="587" t="str">
        <f>IF(V32&gt;0,ROUND(V32*($U$28*(1+$U32+V$28))*BelarusV_Mpe*(1-$B$59),0),"-")&amp;"*"</f>
        <v>53855*</v>
      </c>
      <c r="H32" s="538">
        <f>IF(W32&gt;0,ROUND((W32*($U$28*(1+$U32+W$28))-$AA$28)*BelarusV_Mpe*(1-$B$59),0),"-")</f>
        <v>53321</v>
      </c>
      <c r="I32" s="544" t="str">
        <f>IF(W32&gt;0,ROUND(W32*($U$28*(1+$U32+W$28))*BelarusV_Mpe*(1-$B$59),0),"-")&amp;"*"</f>
        <v>57321*</v>
      </c>
      <c r="J32" s="538">
        <f>IF(X32&gt;0,ROUND((X32*($U$28*(1+$U32+X$28))-$AA$28)*BelarusV_Mpe*(1-$B$59),0),"-")</f>
        <v>66383</v>
      </c>
      <c r="K32" s="538">
        <f>IF(X32&gt;0,ROUND(X32*($U$28*(1+$U32+X$28))*BelarusV_Mpe*(1-$B$59),0),"-")</f>
        <v>70383</v>
      </c>
      <c r="L32" s="538">
        <f>IF(Y32&gt;0,ROUND((Y32*($U$28*(1+$U32+Y$28))-$AA$28)*BelarusV_Mpe*(1-$B$59),0),"-")</f>
        <v>70010</v>
      </c>
      <c r="M32" s="766" t="str">
        <f>IF(Y32&gt;0,ROUND(Y32*($U$28*(1+$U32+Y$28))*BelarusV_Mpe*(1-$B$59),0),"-")&amp;"*"</f>
        <v>74010*</v>
      </c>
      <c r="N32" s="538">
        <f>IF(Z32&gt;0,ROUND((Z32*($U$28*(1+$U32+Z$28))-$AA$28)*BelarusV_Mpe*(1-$B$59),0),"-")</f>
        <v>81334</v>
      </c>
      <c r="O32" s="766" t="str">
        <f>IF(Z32&gt;0,ROUND(Z32*($U$28*(1+$U32+Z$28))*BelarusV_Mpe*(1-$B$59),0),"-")&amp;"*"</f>
        <v>85334*</v>
      </c>
      <c r="P32" s="2213"/>
      <c r="Q32" s="2214"/>
      <c r="R32" s="2218"/>
      <c r="S32" s="2214"/>
      <c r="U32" s="579">
        <v>0</v>
      </c>
      <c r="V32" s="287">
        <v>69.760000000000005</v>
      </c>
      <c r="W32" s="559">
        <v>74.25</v>
      </c>
      <c r="X32" s="559">
        <v>91.17</v>
      </c>
      <c r="Y32" s="559">
        <v>106.52</v>
      </c>
      <c r="Z32" s="583">
        <v>138.16999999999999</v>
      </c>
      <c r="AA32" s="365">
        <v>2.0299999999999998</v>
      </c>
      <c r="AB32" s="291"/>
      <c r="AD32" s="586"/>
      <c r="AI32" s="580"/>
      <c r="AJ32" s="95"/>
      <c r="AK32" s="580"/>
      <c r="AL32" s="580"/>
      <c r="AM32" s="95"/>
      <c r="AN32" s="580"/>
      <c r="AO32" s="95"/>
      <c r="AP32" s="580"/>
    </row>
    <row r="33" spans="1:46" ht="27.95" customHeight="1" x14ac:dyDescent="0.4">
      <c r="A33" s="302"/>
      <c r="B33" s="1455"/>
      <c r="C33" s="1572"/>
      <c r="D33" s="2224">
        <v>2.4300000000000002</v>
      </c>
      <c r="E33" s="2225"/>
      <c r="F33" s="538">
        <f>IF(V33&gt;0,ROUND((V33*($U$28*(1+$U33+V$28))-$AA$28)*BelarusV_Mpe*(1-$B$59),0),"-")</f>
        <v>51681</v>
      </c>
      <c r="G33" s="587">
        <f>IF(V33&gt;0,ROUND(V33*($U$28*(1+$U33+V$28))*BelarusV_Mpe*(1-$B$59),0),"-")</f>
        <v>55681</v>
      </c>
      <c r="H33" s="538">
        <f>IF(W33&gt;0,ROUND((W33*($U$28*(1+$U33+W$28))-$AA$28)*BelarusV_Mpe*(1-$B$59),0),"-")</f>
        <v>66043</v>
      </c>
      <c r="I33" s="545">
        <f>IF(W33&gt;0,ROUND(W33*($U$28*(1+$U33+W$28))*BelarusV_Mpe*(1-$B$59),0),"-")</f>
        <v>70043</v>
      </c>
      <c r="J33" s="540">
        <f>IF(X33&gt;0,ROUND((X33*($U$28*(1+$U33+X$28))-$AA$28)*BelarusV_Mpe*(1-$B$59),0),"-")</f>
        <v>77889</v>
      </c>
      <c r="K33" s="540">
        <f>IF(X33&gt;0,ROUND(X33*($U$28*(1+$U33+X$28))*BelarusV_Mpe*(1-$B$59),0),"-")</f>
        <v>81889</v>
      </c>
      <c r="L33" s="540">
        <f>IF(Y33&gt;0,ROUND((Y33*($U$28*(1+$U33+Y$28))-$AA$28)*BelarusV_Mpe*(1-$B$59),0),"-")</f>
        <v>76893</v>
      </c>
      <c r="M33" s="540">
        <f>IF(Y33&gt;0,ROUND(Y33*($U$28*(1+$U33+Y$28))*BelarusV_Mpe*(1-$B$59),0),"-")</f>
        <v>80893</v>
      </c>
      <c r="N33" s="540">
        <f>IF(Z33&gt;0,ROUND((Z33*($U$28*(1+$U33+Z$28))-$AA$28)*BelarusV_Mpe*(1-$B$59),0),"-")</f>
        <v>101929</v>
      </c>
      <c r="O33" s="546">
        <f>IF(Z33&gt;0,ROUND(Z33*($U$28*(1+$U33+Z$28))*BelarusV_Mpe*(1-$B$59),0),"-")</f>
        <v>105929</v>
      </c>
      <c r="P33" s="2215"/>
      <c r="Q33" s="2216"/>
      <c r="R33" s="2219"/>
      <c r="S33" s="2216"/>
      <c r="U33" s="579">
        <v>-0.1</v>
      </c>
      <c r="V33" s="287">
        <v>80.14</v>
      </c>
      <c r="W33" s="559">
        <v>100.81</v>
      </c>
      <c r="X33" s="559">
        <v>117.86</v>
      </c>
      <c r="Y33" s="559">
        <v>130.97999999999999</v>
      </c>
      <c r="Z33" s="559">
        <v>196.02</v>
      </c>
      <c r="AA33" s="365">
        <v>2.4300000000000002</v>
      </c>
      <c r="AI33" s="580"/>
      <c r="AJ33" s="95"/>
      <c r="AK33" s="580"/>
      <c r="AL33" s="580"/>
      <c r="AM33" s="95"/>
      <c r="AN33" s="580"/>
      <c r="AO33" s="95"/>
      <c r="AP33" s="580"/>
    </row>
    <row r="34" spans="1:46" ht="15" customHeight="1" x14ac:dyDescent="0.4">
      <c r="A34" s="424"/>
      <c r="B34" s="425"/>
      <c r="C34" s="425"/>
      <c r="D34" s="423"/>
      <c r="E34" s="423"/>
      <c r="F34" s="426"/>
      <c r="G34" s="426"/>
      <c r="H34" s="427"/>
      <c r="I34" s="431"/>
      <c r="S34" s="436"/>
      <c r="U34" s="431"/>
      <c r="V34" s="291"/>
      <c r="W34" s="316"/>
      <c r="Z34" s="313"/>
      <c r="AA34" s="313"/>
    </row>
    <row r="35" spans="1:46" ht="30" customHeight="1" x14ac:dyDescent="0.4">
      <c r="A35" s="2081" t="s">
        <v>260</v>
      </c>
      <c r="B35" s="2198" t="s">
        <v>71</v>
      </c>
      <c r="C35" s="2198" t="s">
        <v>23</v>
      </c>
      <c r="D35" s="2198" t="s">
        <v>695</v>
      </c>
      <c r="E35" s="2198"/>
      <c r="F35" s="2081" t="s">
        <v>126</v>
      </c>
      <c r="G35" s="2081"/>
      <c r="H35" s="2081"/>
      <c r="I35" s="431"/>
      <c r="S35" s="967"/>
      <c r="U35" s="431"/>
      <c r="V35" s="291"/>
      <c r="W35" s="316"/>
      <c r="Z35" s="313"/>
      <c r="AA35" s="313"/>
    </row>
    <row r="36" spans="1:46" ht="30" customHeight="1" x14ac:dyDescent="0.4">
      <c r="A36" s="2081"/>
      <c r="B36" s="2198"/>
      <c r="C36" s="2198"/>
      <c r="D36" s="2198"/>
      <c r="E36" s="2198"/>
      <c r="F36" s="2209" t="s">
        <v>732</v>
      </c>
      <c r="G36" s="2209"/>
      <c r="H36" s="886" t="s">
        <v>733</v>
      </c>
      <c r="I36" s="18"/>
      <c r="J36" s="2179" t="s">
        <v>484</v>
      </c>
      <c r="K36" s="2180"/>
      <c r="L36" s="2180"/>
      <c r="M36" s="2181"/>
      <c r="N36" s="2182" t="s">
        <v>269</v>
      </c>
      <c r="O36" s="2170"/>
      <c r="P36" s="2186" t="s">
        <v>524</v>
      </c>
      <c r="Q36" s="2187"/>
      <c r="S36" s="968"/>
      <c r="U36" s="431"/>
      <c r="W36" s="316"/>
      <c r="AA36" s="313"/>
    </row>
    <row r="37" spans="1:46" ht="30" customHeight="1" x14ac:dyDescent="0.4">
      <c r="A37" s="2081"/>
      <c r="B37" s="2198"/>
      <c r="C37" s="2198"/>
      <c r="D37" s="2198"/>
      <c r="E37" s="2198"/>
      <c r="F37" s="763" t="s">
        <v>265</v>
      </c>
      <c r="G37" s="430" t="s">
        <v>266</v>
      </c>
      <c r="H37" s="887" t="s">
        <v>266</v>
      </c>
      <c r="I37" s="18"/>
      <c r="J37" s="2188" t="s">
        <v>494</v>
      </c>
      <c r="K37" s="2189"/>
      <c r="L37" s="2189"/>
      <c r="M37" s="2190"/>
      <c r="N37" s="2183"/>
      <c r="O37" s="2172"/>
      <c r="P37" s="2186"/>
      <c r="Q37" s="2187"/>
      <c r="S37" s="969"/>
      <c r="T37" s="591"/>
      <c r="U37" s="591">
        <v>717</v>
      </c>
      <c r="W37" s="590">
        <v>0</v>
      </c>
      <c r="X37" s="593" t="s">
        <v>457</v>
      </c>
      <c r="Z37" s="286"/>
    </row>
    <row r="38" spans="1:46" ht="30" customHeight="1" x14ac:dyDescent="0.4">
      <c r="A38" s="2132"/>
      <c r="B38" s="1454" t="s">
        <v>355</v>
      </c>
      <c r="C38" s="1454" t="s">
        <v>263</v>
      </c>
      <c r="D38" s="2196" t="s">
        <v>682</v>
      </c>
      <c r="E38" s="2197"/>
      <c r="F38" s="765">
        <f t="shared" ref="F38:F43" si="7">IF(W38&gt;0,ROUND((W38*($U$37*(1+$U38+W$37))-$X$38)*BelarusV_Mpe*(1-$B$59),0),"-")</f>
        <v>14325</v>
      </c>
      <c r="G38" s="542" t="str">
        <f>IF(W38&gt;0,ROUND(W38*($U$37*(1+$U38+W$37))*BelarusV_Mpe*(1-$B$59),0),"-")&amp;"*"</f>
        <v>18325*</v>
      </c>
      <c r="H38" s="883">
        <f>IF(W38&gt;0,ROUND((W38*($U$37*(1+$U38+W$37))+'Эл-ты панельных ограждений - 2'!$H$23*2)*BelarusV_Mpe*(1-$B$59),0),"-")</f>
        <v>19669</v>
      </c>
      <c r="I38" s="18"/>
      <c r="J38" s="2188"/>
      <c r="K38" s="2189"/>
      <c r="L38" s="2189"/>
      <c r="M38" s="2190"/>
      <c r="N38" s="2183"/>
      <c r="O38" s="2172"/>
      <c r="P38" s="2186"/>
      <c r="Q38" s="2187"/>
      <c r="S38" s="969"/>
      <c r="U38" s="579">
        <v>0.3</v>
      </c>
      <c r="V38" s="589"/>
      <c r="W38" s="592">
        <v>19.66</v>
      </c>
      <c r="X38" s="273">
        <f>AA28</f>
        <v>4000</v>
      </c>
      <c r="AD38" s="313"/>
    </row>
    <row r="39" spans="1:46" ht="30" customHeight="1" thickBot="1" x14ac:dyDescent="0.45">
      <c r="A39" s="2133"/>
      <c r="B39" s="1615"/>
      <c r="C39" s="1615"/>
      <c r="D39" s="2175" t="s">
        <v>683</v>
      </c>
      <c r="E39" s="2176"/>
      <c r="F39" s="766">
        <f t="shared" si="7"/>
        <v>16111</v>
      </c>
      <c r="G39" s="547">
        <f>IF(W39&gt;0,ROUND(W39*($U$37*(1+$U39+W$37))*BelarusV_Mpe*(1-$B$59),0),"-")</f>
        <v>20111</v>
      </c>
      <c r="H39" s="884">
        <f>IF(W39&gt;0,ROUND((W39*($U$37*(1+$U39+W$37))+'Эл-ты панельных ограждений - 2'!$H$23*2)*BelarusV_Mpe*(1-$B$59),0),"-")</f>
        <v>21455</v>
      </c>
      <c r="I39" s="18"/>
      <c r="J39" s="2191"/>
      <c r="K39" s="2192"/>
      <c r="L39" s="2192"/>
      <c r="M39" s="2193"/>
      <c r="N39" s="2184"/>
      <c r="O39" s="2185"/>
      <c r="P39" s="2186"/>
      <c r="Q39" s="2187"/>
      <c r="S39" s="969"/>
      <c r="U39" s="579">
        <v>0.15</v>
      </c>
      <c r="V39" s="589"/>
      <c r="W39" s="592">
        <v>24.39</v>
      </c>
      <c r="AD39" s="313"/>
    </row>
    <row r="40" spans="1:46" ht="30" customHeight="1" thickTop="1" x14ac:dyDescent="0.4">
      <c r="A40" s="2133"/>
      <c r="B40" s="1615"/>
      <c r="C40" s="1615"/>
      <c r="D40" s="2175" t="s">
        <v>684</v>
      </c>
      <c r="E40" s="2176"/>
      <c r="F40" s="766">
        <f t="shared" si="7"/>
        <v>16983</v>
      </c>
      <c r="G40" s="547" t="str">
        <f>IF(W40&gt;0,ROUND(W40*($U$37*(1+$U40+W$37))*BelarusV_Mpe*(1-$B$59),0),"-")&amp;"*"</f>
        <v>20983*</v>
      </c>
      <c r="H40" s="884">
        <f>IF(W40&gt;0,ROUND((W40*($U$37*(1+$U40+W$37))+'Эл-ты панельных ограждений - 2'!$H$23*2)*BelarusV_Mpe*(1-$B$59),0),"-")</f>
        <v>22327</v>
      </c>
      <c r="I40" s="18"/>
      <c r="J40" s="2161" t="s">
        <v>375</v>
      </c>
      <c r="K40" s="2164" t="s">
        <v>1358</v>
      </c>
      <c r="L40" s="2164"/>
      <c r="M40" s="2165"/>
      <c r="N40" s="2165" t="s">
        <v>486</v>
      </c>
      <c r="O40" s="2167"/>
      <c r="P40" s="2169" t="s">
        <v>360</v>
      </c>
      <c r="Q40" s="2170"/>
      <c r="S40" s="970"/>
      <c r="U40" s="579">
        <v>7.0000000000000007E-2</v>
      </c>
      <c r="V40" s="589"/>
      <c r="W40" s="592">
        <v>27.35</v>
      </c>
      <c r="Z40" s="286"/>
      <c r="AD40" s="313"/>
    </row>
    <row r="41" spans="1:46" ht="30" customHeight="1" x14ac:dyDescent="0.4">
      <c r="A41" s="2133"/>
      <c r="B41" s="1615"/>
      <c r="C41" s="1615"/>
      <c r="D41" s="2175" t="s">
        <v>685</v>
      </c>
      <c r="E41" s="2176"/>
      <c r="F41" s="548">
        <f t="shared" si="7"/>
        <v>18803</v>
      </c>
      <c r="G41" s="547" t="str">
        <f>IF(W41&gt;0,ROUND(W41*($U$37*(1+$U41+W$37))*BelarusV_Mpe*(1-$B$59),0),"-")&amp;"*"</f>
        <v>22803*</v>
      </c>
      <c r="H41" s="884">
        <f>IF(W41&gt;0,ROUND((W41*($U$37*(1+$U41+W$37))+'Эл-ты панельных ограждений - 2'!$H$23*2)*BelarusV_Mpe*(1-$B$59),0),"-")</f>
        <v>24147</v>
      </c>
      <c r="I41" s="18"/>
      <c r="J41" s="2162"/>
      <c r="K41" s="2165"/>
      <c r="L41" s="2165"/>
      <c r="M41" s="2165"/>
      <c r="N41" s="2165"/>
      <c r="O41" s="2167"/>
      <c r="P41" s="2171"/>
      <c r="Q41" s="2172"/>
      <c r="S41" s="970"/>
      <c r="U41" s="579">
        <v>0.04</v>
      </c>
      <c r="V41" s="589"/>
      <c r="W41" s="592">
        <v>30.58</v>
      </c>
      <c r="AD41" s="313"/>
    </row>
    <row r="42" spans="1:46" ht="30" customHeight="1" x14ac:dyDescent="0.4">
      <c r="A42" s="2133"/>
      <c r="B42" s="1615"/>
      <c r="C42" s="1615"/>
      <c r="D42" s="2175" t="s">
        <v>686</v>
      </c>
      <c r="E42" s="2176"/>
      <c r="F42" s="548">
        <f t="shared" si="7"/>
        <v>21683</v>
      </c>
      <c r="G42" s="547" t="str">
        <f>IF(W42&gt;0,ROUND(W42*($U$37*(1+$U42+W$37))*BelarusV_Mpe*(1-$B$59),0),"-")&amp;"* ***"</f>
        <v>25683* ***</v>
      </c>
      <c r="H42" s="884">
        <f>IF(W42&gt;0,ROUND((W42*($U$37*(1+$U42+W$37))+'Эл-ты панельных ограждений - 2'!$H$23*2)*BelarusV_Mpe*(1-$B$59),0),"-")</f>
        <v>27027</v>
      </c>
      <c r="I42" s="18"/>
      <c r="J42" s="2162"/>
      <c r="K42" s="2165"/>
      <c r="L42" s="2165"/>
      <c r="M42" s="2165"/>
      <c r="N42" s="2165"/>
      <c r="O42" s="2167"/>
      <c r="P42" s="2171"/>
      <c r="Q42" s="2172"/>
      <c r="S42" s="970"/>
      <c r="U42" s="579">
        <v>0</v>
      </c>
      <c r="V42" s="589"/>
      <c r="W42" s="592">
        <v>35.82</v>
      </c>
      <c r="AD42" s="313"/>
    </row>
    <row r="43" spans="1:46" s="294" customFormat="1" ht="30" customHeight="1" thickBot="1" x14ac:dyDescent="0.45">
      <c r="A43" s="2134"/>
      <c r="B43" s="1455"/>
      <c r="C43" s="1455"/>
      <c r="D43" s="2177" t="s">
        <v>687</v>
      </c>
      <c r="E43" s="2178"/>
      <c r="F43" s="549">
        <f t="shared" si="7"/>
        <v>25806</v>
      </c>
      <c r="G43" s="550">
        <f>IF(W43&gt;0,ROUND(W43*($U$37*(1+$U43+W$37))*BelarusV_Mpe*(1-$B$59),0),"-")</f>
        <v>29806</v>
      </c>
      <c r="H43" s="885">
        <f>IF(W43&gt;0,ROUND((W43*($U$37*(1+$U43+W$37))+'Эл-ты панельных ограждений - 2'!$H$23*2+'Эл-ты панельных ограждений - 2'!$H$26*2)*BelarusV_Mpe*(1-$B$59),0),"-")</f>
        <v>32224</v>
      </c>
      <c r="I43" s="2194" t="s">
        <v>1332</v>
      </c>
      <c r="J43" s="2163"/>
      <c r="K43" s="2166"/>
      <c r="L43" s="2166"/>
      <c r="M43" s="2166"/>
      <c r="N43" s="2166"/>
      <c r="O43" s="2168"/>
      <c r="P43" s="2173"/>
      <c r="Q43" s="2174"/>
      <c r="R43" s="970"/>
      <c r="S43" s="970"/>
      <c r="U43" s="579">
        <v>0</v>
      </c>
      <c r="V43" s="95"/>
      <c r="W43" s="559">
        <v>41.57</v>
      </c>
      <c r="Z43" s="286"/>
      <c r="AA43" s="95"/>
      <c r="AB43" s="95"/>
      <c r="AC43" s="95"/>
      <c r="AD43" s="313"/>
      <c r="AJ43" s="295"/>
      <c r="AK43" s="295"/>
      <c r="AL43" s="295"/>
      <c r="AM43" s="295"/>
      <c r="AN43" s="295"/>
      <c r="AO43" s="295"/>
      <c r="AP43" s="295"/>
      <c r="AQ43" s="295"/>
    </row>
    <row r="44" spans="1:46" ht="15" customHeight="1" thickTop="1" x14ac:dyDescent="0.4">
      <c r="H44" s="429"/>
      <c r="I44" s="2195"/>
      <c r="K44" s="971"/>
      <c r="L44" s="969"/>
      <c r="M44" s="970"/>
      <c r="N44" s="970"/>
      <c r="O44" s="970"/>
      <c r="P44" s="970"/>
      <c r="Q44" s="970"/>
      <c r="R44" s="970"/>
      <c r="S44" s="970"/>
      <c r="T44" s="17"/>
      <c r="U44" s="366"/>
    </row>
    <row r="45" spans="1:46" ht="30" customHeight="1" x14ac:dyDescent="0.4">
      <c r="A45" s="2149" t="s">
        <v>260</v>
      </c>
      <c r="B45" s="2151" t="s">
        <v>71</v>
      </c>
      <c r="C45" s="2069" t="s">
        <v>23</v>
      </c>
      <c r="D45" s="2153" t="s">
        <v>695</v>
      </c>
      <c r="E45" s="2154"/>
      <c r="F45" s="2157" t="s">
        <v>126</v>
      </c>
      <c r="G45" s="2158"/>
      <c r="H45" s="2159" t="s">
        <v>804</v>
      </c>
      <c r="I45" s="2129"/>
      <c r="J45" s="439"/>
      <c r="K45" s="2081" t="s">
        <v>260</v>
      </c>
      <c r="L45" s="2139" t="s">
        <v>71</v>
      </c>
      <c r="M45" s="2141" t="s">
        <v>694</v>
      </c>
      <c r="N45" s="2143" t="s">
        <v>755</v>
      </c>
      <c r="O45" s="2144"/>
      <c r="P45" s="2147" t="s">
        <v>485</v>
      </c>
      <c r="Q45" s="2081" t="s">
        <v>126</v>
      </c>
      <c r="R45" s="2128" t="s">
        <v>587</v>
      </c>
      <c r="S45" s="2129"/>
      <c r="T45" s="17"/>
      <c r="U45" s="366"/>
    </row>
    <row r="46" spans="1:46" ht="30" customHeight="1" x14ac:dyDescent="0.4">
      <c r="A46" s="2150"/>
      <c r="B46" s="2152"/>
      <c r="C46" s="2070"/>
      <c r="D46" s="2155"/>
      <c r="E46" s="2156"/>
      <c r="F46" s="2130" t="s">
        <v>805</v>
      </c>
      <c r="G46" s="2131"/>
      <c r="H46" s="2159"/>
      <c r="I46" s="2129"/>
      <c r="J46" s="439"/>
      <c r="K46" s="2081"/>
      <c r="L46" s="2140"/>
      <c r="M46" s="2142"/>
      <c r="N46" s="2145"/>
      <c r="O46" s="2146"/>
      <c r="P46" s="2148"/>
      <c r="Q46" s="2081"/>
      <c r="R46" s="2128"/>
      <c r="S46" s="2129"/>
      <c r="T46" s="17"/>
      <c r="U46" s="366"/>
    </row>
    <row r="47" spans="1:46" ht="27" customHeight="1" x14ac:dyDescent="0.4">
      <c r="A47" s="2132"/>
      <c r="B47" s="1454" t="s">
        <v>806</v>
      </c>
      <c r="C47" s="1454" t="s">
        <v>807</v>
      </c>
      <c r="D47" s="2093" t="s">
        <v>808</v>
      </c>
      <c r="E47" s="2093"/>
      <c r="F47" s="2094">
        <f>ROUND(V47*BelarusV*(1-$D$59),0)</f>
        <v>42769</v>
      </c>
      <c r="G47" s="2095"/>
      <c r="H47" s="2159"/>
      <c r="I47" s="2129"/>
      <c r="J47" s="379"/>
      <c r="K47" s="412"/>
      <c r="L47" s="1385" t="s">
        <v>432</v>
      </c>
      <c r="M47" s="635" t="s">
        <v>688</v>
      </c>
      <c r="N47" s="2135" t="s">
        <v>482</v>
      </c>
      <c r="O47" s="2136"/>
      <c r="P47" s="289">
        <v>45.37</v>
      </c>
      <c r="Q47" s="772">
        <f t="shared" ref="Q47:Q54" si="8">ROUND(X47*BelarusV*(1-$D$59),2)</f>
        <v>42595</v>
      </c>
      <c r="R47" s="2137" t="s">
        <v>588</v>
      </c>
      <c r="S47" s="2138"/>
      <c r="T47" s="17"/>
      <c r="U47" s="296"/>
      <c r="V47" s="287">
        <v>42769</v>
      </c>
      <c r="X47" s="292">
        <v>42595</v>
      </c>
      <c r="Y47"/>
      <c r="AR47"/>
      <c r="AS47"/>
      <c r="AT47"/>
    </row>
    <row r="48" spans="1:46" ht="27" customHeight="1" x14ac:dyDescent="0.4">
      <c r="A48" s="2133"/>
      <c r="B48" s="1615"/>
      <c r="C48" s="1615"/>
      <c r="D48" s="2110" t="s">
        <v>809</v>
      </c>
      <c r="E48" s="2110"/>
      <c r="F48" s="2111" t="str">
        <f>ROUND(V48*BelarusV*(1-$D$59),0)&amp;"***"</f>
        <v>44618***</v>
      </c>
      <c r="G48" s="2112"/>
      <c r="H48" s="2113" t="s">
        <v>810</v>
      </c>
      <c r="I48" s="2114"/>
      <c r="J48" s="379"/>
      <c r="K48" s="724"/>
      <c r="L48" s="1572"/>
      <c r="M48" s="634" t="s">
        <v>689</v>
      </c>
      <c r="N48" s="2115" t="s">
        <v>754</v>
      </c>
      <c r="O48" s="2116"/>
      <c r="P48" s="290">
        <v>53.79</v>
      </c>
      <c r="Q48" s="707">
        <f t="shared" si="8"/>
        <v>47337</v>
      </c>
      <c r="R48" s="2137"/>
      <c r="S48" s="2138"/>
      <c r="T48" s="15"/>
      <c r="U48" s="297"/>
      <c r="V48" s="287">
        <v>44618</v>
      </c>
      <c r="X48" s="292">
        <v>47337</v>
      </c>
      <c r="Y48"/>
      <c r="AR48"/>
      <c r="AS48"/>
      <c r="AT48"/>
    </row>
    <row r="49" spans="1:62" ht="27" customHeight="1" x14ac:dyDescent="0.4">
      <c r="A49" s="2133"/>
      <c r="B49" s="1615"/>
      <c r="C49" s="1615"/>
      <c r="D49" s="2117" t="s">
        <v>811</v>
      </c>
      <c r="E49" s="2118"/>
      <c r="F49" s="2111">
        <f>ROUND(V49*BelarusV*(1-$D$59),0)</f>
        <v>55460</v>
      </c>
      <c r="G49" s="2112"/>
      <c r="H49" s="2113"/>
      <c r="I49" s="2114"/>
      <c r="J49" s="379"/>
      <c r="K49" s="412"/>
      <c r="L49" s="1385" t="s">
        <v>433</v>
      </c>
      <c r="M49" s="635" t="s">
        <v>689</v>
      </c>
      <c r="N49" s="2119" t="s">
        <v>757</v>
      </c>
      <c r="O49" s="2120"/>
      <c r="P49" s="289">
        <v>54.51</v>
      </c>
      <c r="Q49" s="772">
        <f t="shared" si="8"/>
        <v>50199</v>
      </c>
      <c r="R49" s="2137"/>
      <c r="S49" s="2138"/>
      <c r="T49" s="15"/>
      <c r="U49" s="297"/>
      <c r="V49" s="287">
        <v>55460</v>
      </c>
      <c r="X49" s="292">
        <v>50199</v>
      </c>
      <c r="Y49"/>
      <c r="AR49"/>
      <c r="AS49"/>
      <c r="AT49"/>
    </row>
    <row r="50" spans="1:62" ht="27" customHeight="1" x14ac:dyDescent="0.4">
      <c r="A50" s="2133"/>
      <c r="B50" s="1615"/>
      <c r="C50" s="1615"/>
      <c r="D50" s="2110" t="s">
        <v>812</v>
      </c>
      <c r="E50" s="2110"/>
      <c r="F50" s="2111" t="str">
        <f>ROUND(V50*BelarusV*(1-$D$59),0)&amp;"***"</f>
        <v>47240***</v>
      </c>
      <c r="G50" s="2112"/>
      <c r="H50" s="2113"/>
      <c r="I50" s="2114"/>
      <c r="J50" s="379"/>
      <c r="K50" s="724"/>
      <c r="L50" s="1572"/>
      <c r="M50" s="634" t="s">
        <v>690</v>
      </c>
      <c r="N50" s="2121" t="s">
        <v>482</v>
      </c>
      <c r="O50" s="2122"/>
      <c r="P50" s="293">
        <v>62.86</v>
      </c>
      <c r="Q50" s="532">
        <f t="shared" si="8"/>
        <v>51613</v>
      </c>
      <c r="R50" s="2137"/>
      <c r="S50" s="2138"/>
      <c r="T50" s="434"/>
      <c r="U50" s="298"/>
      <c r="V50" s="292">
        <v>47240</v>
      </c>
      <c r="X50" s="292">
        <v>51613</v>
      </c>
      <c r="Y50"/>
      <c r="AL50"/>
      <c r="AM50"/>
      <c r="AN50"/>
      <c r="AO50"/>
      <c r="AP50"/>
      <c r="AQ50"/>
      <c r="AR50"/>
      <c r="AS50"/>
      <c r="AT50"/>
    </row>
    <row r="51" spans="1:62" ht="27" customHeight="1" x14ac:dyDescent="0.4">
      <c r="A51" s="2134"/>
      <c r="B51" s="1455"/>
      <c r="C51" s="1455"/>
      <c r="D51" s="2123" t="s">
        <v>813</v>
      </c>
      <c r="E51" s="2123"/>
      <c r="F51" s="2124">
        <f>ROUND(V51*BelarusV*(1-$D$59),0)</f>
        <v>59387</v>
      </c>
      <c r="G51" s="2125"/>
      <c r="H51" s="2113"/>
      <c r="I51" s="2114"/>
      <c r="J51" s="379"/>
      <c r="K51" s="412"/>
      <c r="L51" s="1385" t="s">
        <v>434</v>
      </c>
      <c r="M51" s="635" t="s">
        <v>691</v>
      </c>
      <c r="N51" s="2126" t="s">
        <v>482</v>
      </c>
      <c r="O51" s="2127"/>
      <c r="P51" s="289">
        <v>89.29</v>
      </c>
      <c r="Q51" s="772">
        <f t="shared" si="8"/>
        <v>88115</v>
      </c>
      <c r="R51" s="2137"/>
      <c r="S51" s="2138"/>
      <c r="T51" s="434"/>
      <c r="U51" s="298"/>
      <c r="V51" s="292">
        <v>59387</v>
      </c>
      <c r="X51" s="292">
        <v>88115</v>
      </c>
      <c r="AL51"/>
      <c r="AM51"/>
      <c r="AN51"/>
      <c r="AO51"/>
      <c r="AP51"/>
      <c r="AQ51"/>
    </row>
    <row r="52" spans="1:62" ht="27" customHeight="1" x14ac:dyDescent="0.4">
      <c r="A52" s="2160"/>
      <c r="B52" s="2090" t="s">
        <v>814</v>
      </c>
      <c r="C52" s="2090" t="s">
        <v>807</v>
      </c>
      <c r="D52" s="2093" t="s">
        <v>815</v>
      </c>
      <c r="E52" s="2093"/>
      <c r="F52" s="2094">
        <f>ROUND(V52*BelarusV*(1-$D$59),0)</f>
        <v>28046</v>
      </c>
      <c r="G52" s="2095"/>
      <c r="H52" s="2113"/>
      <c r="I52" s="2114"/>
      <c r="J52" s="379"/>
      <c r="K52" s="724"/>
      <c r="L52" s="1572"/>
      <c r="M52" s="634" t="s">
        <v>692</v>
      </c>
      <c r="N52" s="2121" t="s">
        <v>482</v>
      </c>
      <c r="O52" s="2122"/>
      <c r="P52" s="290">
        <v>103.87</v>
      </c>
      <c r="Q52" s="532">
        <f t="shared" si="8"/>
        <v>93395</v>
      </c>
      <c r="R52" s="2137"/>
      <c r="S52" s="2138"/>
      <c r="T52" s="434"/>
      <c r="U52" s="297"/>
      <c r="V52" s="287">
        <v>28046</v>
      </c>
      <c r="X52" s="292">
        <v>93395</v>
      </c>
      <c r="AL52"/>
      <c r="AM52"/>
      <c r="AN52"/>
      <c r="AO52"/>
      <c r="AP52"/>
      <c r="AQ52"/>
    </row>
    <row r="53" spans="1:62" ht="27" customHeight="1" x14ac:dyDescent="0.4">
      <c r="A53" s="2160"/>
      <c r="B53" s="2090"/>
      <c r="C53" s="2090"/>
      <c r="D53" s="2110" t="s">
        <v>816</v>
      </c>
      <c r="E53" s="2110"/>
      <c r="F53" s="2111" t="str">
        <f>ROUND(V53*BelarusV*(1-$D$59),0)&amp;"***"</f>
        <v>29442***</v>
      </c>
      <c r="G53" s="2112"/>
      <c r="H53" s="2113"/>
      <c r="I53" s="2114"/>
      <c r="J53" s="379"/>
      <c r="K53" s="412"/>
      <c r="L53" s="1385" t="s">
        <v>435</v>
      </c>
      <c r="M53" s="635" t="s">
        <v>692</v>
      </c>
      <c r="N53" s="2119" t="s">
        <v>756</v>
      </c>
      <c r="O53" s="2120"/>
      <c r="P53" s="289">
        <v>107.32</v>
      </c>
      <c r="Q53" s="772">
        <f t="shared" si="8"/>
        <v>101151</v>
      </c>
      <c r="R53" s="2137"/>
      <c r="S53" s="2138"/>
      <c r="T53" s="433"/>
      <c r="V53" s="287">
        <v>29442</v>
      </c>
      <c r="X53" s="292">
        <v>101151</v>
      </c>
      <c r="AF53" s="299"/>
      <c r="AG53" s="299"/>
      <c r="AH53" s="299"/>
      <c r="AI53" s="299"/>
      <c r="AL53"/>
      <c r="AM53"/>
      <c r="AN53"/>
      <c r="AO53"/>
      <c r="AP53"/>
      <c r="AQ53"/>
    </row>
    <row r="54" spans="1:62" ht="27" customHeight="1" x14ac:dyDescent="0.4">
      <c r="A54" s="2160"/>
      <c r="B54" s="2090"/>
      <c r="C54" s="2090"/>
      <c r="D54" s="2123" t="s">
        <v>817</v>
      </c>
      <c r="E54" s="2123"/>
      <c r="F54" s="2124" t="str">
        <f>ROUND(V54*BelarusV*(1-$D$59),0)&amp;"*** ****"</f>
        <v>30877*** ****</v>
      </c>
      <c r="G54" s="2125"/>
      <c r="H54" s="2113"/>
      <c r="I54" s="2114"/>
      <c r="J54" s="379"/>
      <c r="K54" s="724"/>
      <c r="L54" s="1572"/>
      <c r="M54" s="634" t="s">
        <v>693</v>
      </c>
      <c r="N54" s="2121" t="s">
        <v>482</v>
      </c>
      <c r="O54" s="2122"/>
      <c r="P54" s="563">
        <v>151.35</v>
      </c>
      <c r="Q54" s="532">
        <f t="shared" si="8"/>
        <v>123640</v>
      </c>
      <c r="R54" s="2137"/>
      <c r="S54" s="2138"/>
      <c r="T54" s="433"/>
      <c r="V54" s="292">
        <v>30877</v>
      </c>
      <c r="X54" s="292">
        <v>123640</v>
      </c>
      <c r="AF54" s="363"/>
      <c r="AG54" s="313"/>
      <c r="AH54" s="313"/>
      <c r="AI54" s="313"/>
      <c r="AK54" s="313"/>
      <c r="AL54"/>
      <c r="AM54"/>
      <c r="AN54"/>
      <c r="AO54"/>
      <c r="AP54"/>
      <c r="AQ54"/>
    </row>
    <row r="55" spans="1:62" ht="15" customHeight="1" x14ac:dyDescent="0.4">
      <c r="T55" s="433"/>
      <c r="AF55" s="363"/>
      <c r="AG55" s="313"/>
      <c r="AH55" s="313"/>
      <c r="AI55" s="313"/>
      <c r="AJ55" s="313"/>
      <c r="AK55" s="313"/>
    </row>
    <row r="56" spans="1:62" ht="50.1" customHeight="1" x14ac:dyDescent="0.4">
      <c r="A56" s="2099" t="s">
        <v>623</v>
      </c>
      <c r="B56" s="2099"/>
      <c r="C56" s="2099"/>
      <c r="D56" s="2099"/>
      <c r="E56" s="2099"/>
      <c r="F56" s="2099"/>
      <c r="G56" s="2099"/>
      <c r="H56" s="2099"/>
      <c r="I56" s="2099"/>
      <c r="J56" s="2099"/>
      <c r="K56" s="2099"/>
      <c r="L56" s="2099"/>
      <c r="M56" s="2099"/>
      <c r="N56" s="2099"/>
      <c r="O56" s="2099"/>
      <c r="P56" s="2099"/>
      <c r="Q56" s="2099"/>
      <c r="R56" s="2099"/>
      <c r="S56" s="2100"/>
      <c r="T56" s="435"/>
    </row>
    <row r="57" spans="1:62" ht="30" customHeight="1" x14ac:dyDescent="0.4">
      <c r="A57"/>
      <c r="B57"/>
      <c r="C57"/>
      <c r="D57"/>
      <c r="E57"/>
      <c r="F57"/>
      <c r="G57"/>
      <c r="H57"/>
      <c r="K57"/>
      <c r="L57"/>
      <c r="O57"/>
      <c r="P57" s="471"/>
    </row>
    <row r="58" spans="1:62" ht="51.75" customHeight="1" x14ac:dyDescent="0.4">
      <c r="A58" s="1758" t="s">
        <v>26</v>
      </c>
      <c r="B58" s="2101" t="s">
        <v>333</v>
      </c>
      <c r="C58" s="2101"/>
      <c r="D58" s="2102" t="s">
        <v>502</v>
      </c>
      <c r="E58" s="2103"/>
      <c r="F58" s="2104"/>
      <c r="G58" s="2105" t="s">
        <v>325</v>
      </c>
      <c r="H58" s="2106"/>
      <c r="I58" s="16"/>
      <c r="J58" s="16"/>
    </row>
    <row r="59" spans="1:62" x14ac:dyDescent="0.4">
      <c r="A59" s="1759"/>
      <c r="B59" s="2107">
        <v>0</v>
      </c>
      <c r="C59" s="2108"/>
      <c r="D59" s="2107">
        <v>0</v>
      </c>
      <c r="E59" s="2109"/>
      <c r="F59" s="2108"/>
      <c r="G59" s="1882">
        <v>0</v>
      </c>
      <c r="H59" s="1882"/>
      <c r="I59" s="16"/>
      <c r="J59" s="16"/>
      <c r="K59" s="16"/>
      <c r="L59" s="16"/>
      <c r="M59" s="16"/>
    </row>
    <row r="60" spans="1:62" ht="30" customHeight="1" x14ac:dyDescent="0.4">
      <c r="I60" s="16"/>
      <c r="J60" s="16"/>
      <c r="K60" s="16"/>
      <c r="L60" s="16"/>
      <c r="M60" s="16"/>
    </row>
    <row r="61" spans="1:62" x14ac:dyDescent="0.4">
      <c r="H61" s="16"/>
      <c r="I61" s="16"/>
      <c r="J61" s="16"/>
      <c r="K61" s="299"/>
      <c r="L61" s="95"/>
      <c r="M61" s="95"/>
    </row>
    <row r="62" spans="1:62" ht="30" customHeight="1" x14ac:dyDescent="0.4">
      <c r="I62" s="299"/>
      <c r="J62" s="299"/>
      <c r="K62" s="299"/>
      <c r="L62" s="95"/>
      <c r="M62" s="95"/>
    </row>
    <row r="63" spans="1:62" x14ac:dyDescent="0.4">
      <c r="I63" s="299"/>
      <c r="J63" s="299"/>
      <c r="K63" s="299"/>
      <c r="L63" s="16"/>
      <c r="M63" s="16"/>
    </row>
    <row r="64" spans="1:62" ht="30" customHeight="1" x14ac:dyDescent="0.3">
      <c r="I64" s="299"/>
      <c r="J64" s="299"/>
      <c r="K64" s="299"/>
      <c r="L64" s="303"/>
      <c r="M64" s="95"/>
      <c r="AB64" s="18"/>
      <c r="AC64" s="18"/>
      <c r="AD64" s="18"/>
      <c r="AE64" s="18"/>
      <c r="AF64" s="18"/>
      <c r="AG64" s="18"/>
      <c r="AH64" s="18"/>
      <c r="AI64" s="18"/>
      <c r="AJ64" s="18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X64" s="1924"/>
      <c r="AY64" s="1924"/>
      <c r="AZ64" s="1924"/>
      <c r="BA64" s="1924"/>
      <c r="BB64" s="1924"/>
      <c r="BC64" s="1924"/>
      <c r="BD64" s="1924"/>
      <c r="BE64" s="1924"/>
      <c r="BF64" s="1924"/>
      <c r="BG64" s="1924"/>
      <c r="BH64" s="1924"/>
      <c r="BI64" s="1924"/>
      <c r="BJ64" s="1924"/>
    </row>
    <row r="65" spans="8:62" ht="30" customHeight="1" x14ac:dyDescent="0.3">
      <c r="H65" s="299"/>
      <c r="I65" s="299"/>
      <c r="J65" s="299"/>
      <c r="K65" s="299"/>
      <c r="L65" s="303"/>
      <c r="M65" s="1"/>
      <c r="AB65" s="16"/>
      <c r="AC65" s="16"/>
      <c r="AD65" s="16"/>
      <c r="AE65" s="16"/>
      <c r="AF65" s="16"/>
      <c r="AG65" s="16"/>
      <c r="AH65" s="16"/>
      <c r="AI65" s="16"/>
      <c r="AJ65" s="16"/>
      <c r="AK65" s="288"/>
      <c r="AL65" s="288"/>
      <c r="AM65" s="288"/>
      <c r="AN65" s="288"/>
      <c r="AO65" s="288"/>
      <c r="AP65" s="288"/>
      <c r="AQ65" s="288"/>
      <c r="AR65" s="288"/>
      <c r="AS65" s="288"/>
      <c r="AT65" s="288"/>
      <c r="AX65" s="1924"/>
      <c r="AY65" s="1924"/>
      <c r="AZ65" s="1924"/>
      <c r="BA65" s="1924"/>
      <c r="BB65" s="1924"/>
      <c r="BC65" s="1924"/>
      <c r="BD65" s="1924"/>
      <c r="BE65" s="1924"/>
      <c r="BF65" s="1924"/>
      <c r="BG65" s="1924"/>
      <c r="BH65" s="1924"/>
      <c r="BI65" s="1924"/>
      <c r="BJ65" s="1924"/>
    </row>
    <row r="66" spans="8:62" ht="20.25" customHeight="1" x14ac:dyDescent="0.3">
      <c r="I66" s="299"/>
      <c r="J66" s="299"/>
      <c r="K66" s="299"/>
      <c r="L66" s="304"/>
      <c r="M66" s="1"/>
      <c r="AB66" s="16"/>
      <c r="AC66" s="16"/>
      <c r="AD66" s="16"/>
      <c r="AE66" s="16"/>
      <c r="AF66" s="16"/>
      <c r="AG66" s="16"/>
      <c r="AH66" s="16"/>
      <c r="AI66" s="16"/>
      <c r="AJ66" s="16"/>
      <c r="AK66" s="288"/>
      <c r="AL66" s="288"/>
      <c r="AM66" s="288"/>
      <c r="AN66" s="288"/>
      <c r="AO66" s="288"/>
      <c r="AP66" s="288"/>
      <c r="AQ66" s="288"/>
      <c r="AR66" s="288"/>
      <c r="AS66" s="288"/>
      <c r="AT66" s="288"/>
      <c r="AX66" s="2096"/>
      <c r="AY66" s="2096"/>
      <c r="AZ66" s="2096"/>
      <c r="BA66" s="2097"/>
      <c r="BB66" s="2097"/>
      <c r="BC66" s="2030"/>
      <c r="BD66" s="2030"/>
      <c r="BE66" s="2030"/>
      <c r="BF66" s="2030"/>
      <c r="BG66" s="2030"/>
      <c r="BH66" s="2098"/>
      <c r="BI66" s="2098"/>
      <c r="BJ66" s="2098"/>
    </row>
    <row r="67" spans="8:62" ht="20.25" x14ac:dyDescent="0.3">
      <c r="H67" s="299"/>
      <c r="I67" s="299"/>
      <c r="J67" s="299"/>
      <c r="K67" s="374"/>
      <c r="L67" s="304"/>
      <c r="AB67" s="16"/>
      <c r="AC67" s="16"/>
      <c r="AD67" s="16"/>
      <c r="AE67" s="16"/>
      <c r="AF67" s="16"/>
      <c r="AG67" s="16"/>
      <c r="AH67" s="16"/>
      <c r="AI67" s="16"/>
      <c r="AJ67" s="16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X67" s="2096"/>
      <c r="AY67" s="2096"/>
      <c r="AZ67" s="2096"/>
      <c r="BA67" s="2097"/>
      <c r="BB67" s="2097"/>
      <c r="BC67" s="2030"/>
      <c r="BD67" s="2030"/>
      <c r="BE67" s="2030"/>
      <c r="BF67" s="2030"/>
      <c r="BG67" s="2030"/>
      <c r="BH67" s="2098"/>
      <c r="BI67" s="2098"/>
      <c r="BJ67" s="2098"/>
    </row>
    <row r="68" spans="8:62" ht="20.25" customHeight="1" x14ac:dyDescent="0.3">
      <c r="I68" s="374"/>
      <c r="J68" s="374"/>
      <c r="K68" s="374"/>
      <c r="L68" s="305"/>
      <c r="M68" s="95"/>
      <c r="AB68" s="16"/>
      <c r="AC68" s="16"/>
      <c r="AD68" s="16"/>
      <c r="AE68" s="16"/>
      <c r="AF68" s="16"/>
      <c r="AG68" s="16"/>
      <c r="AH68" s="16"/>
      <c r="AI68" s="16"/>
      <c r="AJ68" s="16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X68" s="2096"/>
      <c r="AY68" s="2096"/>
      <c r="AZ68" s="2096"/>
      <c r="BA68" s="2097"/>
      <c r="BB68" s="2097"/>
      <c r="BC68" s="2030"/>
      <c r="BD68" s="2030"/>
      <c r="BE68" s="2030"/>
      <c r="BF68" s="2030"/>
      <c r="BG68" s="2030"/>
      <c r="BH68" s="2098"/>
      <c r="BI68" s="2098"/>
      <c r="BJ68" s="2098"/>
    </row>
    <row r="69" spans="8:62" ht="30" customHeight="1" x14ac:dyDescent="0.3">
      <c r="H69" s="374"/>
      <c r="I69" s="374"/>
      <c r="J69" s="374"/>
      <c r="AB69" s="16"/>
      <c r="AC69" s="16"/>
      <c r="AD69" s="16"/>
      <c r="AE69" s="16"/>
      <c r="AF69" s="16"/>
      <c r="AG69" s="16"/>
      <c r="AH69" s="16"/>
      <c r="AI69" s="16"/>
      <c r="AJ69" s="16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X69" s="2096"/>
      <c r="AY69" s="2096"/>
      <c r="AZ69" s="2096"/>
      <c r="BA69" s="2097"/>
      <c r="BB69" s="2097"/>
      <c r="BC69" s="2030"/>
      <c r="BD69" s="2030"/>
      <c r="BE69" s="2030"/>
      <c r="BF69" s="2030"/>
      <c r="BG69" s="2030"/>
      <c r="BH69" s="2098"/>
      <c r="BI69" s="2098"/>
      <c r="BJ69" s="2098"/>
    </row>
    <row r="70" spans="8:62" ht="30" customHeight="1" x14ac:dyDescent="0.3">
      <c r="AB70" s="15"/>
      <c r="AC70" s="15"/>
      <c r="AD70" s="15"/>
      <c r="AE70" s="288"/>
      <c r="AF70" s="288"/>
      <c r="AG70" s="288"/>
      <c r="AH70" s="288"/>
      <c r="AI70" s="288"/>
      <c r="AJ70" s="288"/>
      <c r="AK70" s="288"/>
      <c r="AL70" s="288"/>
      <c r="AM70" s="288"/>
      <c r="AN70" s="288"/>
      <c r="AO70" s="288"/>
      <c r="AP70" s="288"/>
      <c r="AQ70" s="288"/>
      <c r="AR70" s="288"/>
      <c r="AS70" s="288"/>
      <c r="AT70" s="288"/>
      <c r="AX70" s="2096"/>
      <c r="AY70" s="2096"/>
      <c r="AZ70" s="2096"/>
      <c r="BA70" s="2097"/>
      <c r="BB70" s="2097"/>
      <c r="BC70" s="2030"/>
      <c r="BD70" s="2030"/>
      <c r="BE70" s="2030"/>
      <c r="BF70" s="2030"/>
      <c r="BG70" s="2030"/>
      <c r="BH70" s="2098"/>
      <c r="BI70" s="2098"/>
      <c r="BJ70" s="2098"/>
    </row>
    <row r="71" spans="8:62" ht="30" customHeight="1" x14ac:dyDescent="0.3">
      <c r="AB71" s="15"/>
      <c r="AC71" s="15"/>
      <c r="AD71" s="15"/>
      <c r="AE71" s="288"/>
      <c r="AF71" s="288"/>
      <c r="AG71" s="288"/>
      <c r="AH71" s="288"/>
      <c r="AI71" s="288"/>
      <c r="AJ71" s="288"/>
      <c r="AK71" s="288"/>
      <c r="AL71" s="288"/>
      <c r="AM71" s="288"/>
      <c r="AN71" s="288"/>
      <c r="AO71" s="288"/>
      <c r="AP71" s="288"/>
      <c r="AQ71" s="288"/>
      <c r="AR71" s="288"/>
      <c r="AS71" s="288"/>
      <c r="AT71" s="288"/>
    </row>
    <row r="72" spans="8:62" ht="30" customHeight="1" x14ac:dyDescent="0.3">
      <c r="AB72" s="15"/>
      <c r="AC72" s="15"/>
      <c r="AD72" s="15"/>
      <c r="AE72" s="288"/>
      <c r="AF72" s="288"/>
      <c r="AG72" s="288"/>
      <c r="AH72" s="288"/>
      <c r="AI72" s="288"/>
      <c r="AJ72" s="288"/>
      <c r="AK72" s="288"/>
      <c r="AL72" s="288"/>
      <c r="AM72" s="288"/>
      <c r="AN72" s="288"/>
      <c r="AO72" s="288"/>
      <c r="AP72" s="288"/>
      <c r="AQ72" s="288"/>
      <c r="AR72" s="288"/>
      <c r="AS72" s="288"/>
      <c r="AT72" s="288"/>
    </row>
    <row r="73" spans="8:62" ht="30" customHeight="1" x14ac:dyDescent="0.3">
      <c r="AB73" s="15"/>
      <c r="AC73" s="15"/>
      <c r="AD73" s="15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288"/>
    </row>
  </sheetData>
  <mergeCells count="147">
    <mergeCell ref="C2:N2"/>
    <mergeCell ref="U2:U4"/>
    <mergeCell ref="A3:A4"/>
    <mergeCell ref="B3:B4"/>
    <mergeCell ref="C3:C4"/>
    <mergeCell ref="D3:D4"/>
    <mergeCell ref="E3:Q3"/>
    <mergeCell ref="R3:S5"/>
    <mergeCell ref="V3:AH3"/>
    <mergeCell ref="A5:A9"/>
    <mergeCell ref="B5:B9"/>
    <mergeCell ref="C5:C9"/>
    <mergeCell ref="R6:S24"/>
    <mergeCell ref="A11:A12"/>
    <mergeCell ref="B11:B12"/>
    <mergeCell ref="C11:C12"/>
    <mergeCell ref="D11:D12"/>
    <mergeCell ref="E11:Q11"/>
    <mergeCell ref="V11:X11"/>
    <mergeCell ref="Y11:Z11"/>
    <mergeCell ref="AC11:AG11"/>
    <mergeCell ref="A15:A18"/>
    <mergeCell ref="B15:B18"/>
    <mergeCell ref="C15:C18"/>
    <mergeCell ref="D15:D18"/>
    <mergeCell ref="E15:I15"/>
    <mergeCell ref="K15:K18"/>
    <mergeCell ref="L15:M18"/>
    <mergeCell ref="N15:O18"/>
    <mergeCell ref="P15:P18"/>
    <mergeCell ref="Q15:Q16"/>
    <mergeCell ref="E16:H16"/>
    <mergeCell ref="E17:F17"/>
    <mergeCell ref="A19:A23"/>
    <mergeCell ref="B19:B23"/>
    <mergeCell ref="C19:C23"/>
    <mergeCell ref="L19:M23"/>
    <mergeCell ref="N19:O23"/>
    <mergeCell ref="P19:P23"/>
    <mergeCell ref="Q19:Q23"/>
    <mergeCell ref="A24:I24"/>
    <mergeCell ref="K24:Q24"/>
    <mergeCell ref="A26:A28"/>
    <mergeCell ref="B26:B28"/>
    <mergeCell ref="C26:C28"/>
    <mergeCell ref="D26:E28"/>
    <mergeCell ref="F26:O26"/>
    <mergeCell ref="P26:Q27"/>
    <mergeCell ref="F35:H35"/>
    <mergeCell ref="F36:G36"/>
    <mergeCell ref="R26:S27"/>
    <mergeCell ref="P28:Q33"/>
    <mergeCell ref="R28:S33"/>
    <mergeCell ref="B29:B33"/>
    <mergeCell ref="C29:C33"/>
    <mergeCell ref="D29:E29"/>
    <mergeCell ref="D30:E30"/>
    <mergeCell ref="D31:E31"/>
    <mergeCell ref="D32:E32"/>
    <mergeCell ref="D33:E33"/>
    <mergeCell ref="A38:A43"/>
    <mergeCell ref="B38:B43"/>
    <mergeCell ref="C38:C43"/>
    <mergeCell ref="D38:E38"/>
    <mergeCell ref="D39:E39"/>
    <mergeCell ref="D40:E40"/>
    <mergeCell ref="A35:A37"/>
    <mergeCell ref="B35:B37"/>
    <mergeCell ref="C35:C37"/>
    <mergeCell ref="D35:E37"/>
    <mergeCell ref="J40:J43"/>
    <mergeCell ref="K40:M43"/>
    <mergeCell ref="N40:O43"/>
    <mergeCell ref="P40:Q43"/>
    <mergeCell ref="D41:E41"/>
    <mergeCell ref="D42:E42"/>
    <mergeCell ref="D43:E43"/>
    <mergeCell ref="J36:M36"/>
    <mergeCell ref="N36:O39"/>
    <mergeCell ref="P36:Q39"/>
    <mergeCell ref="J37:M39"/>
    <mergeCell ref="I43:I44"/>
    <mergeCell ref="R45:S46"/>
    <mergeCell ref="F46:G46"/>
    <mergeCell ref="A47:A51"/>
    <mergeCell ref="B47:B51"/>
    <mergeCell ref="C47:C51"/>
    <mergeCell ref="D47:E47"/>
    <mergeCell ref="F47:G47"/>
    <mergeCell ref="L47:L48"/>
    <mergeCell ref="N47:O47"/>
    <mergeCell ref="R47:S54"/>
    <mergeCell ref="K45:K46"/>
    <mergeCell ref="L45:L46"/>
    <mergeCell ref="M45:M46"/>
    <mergeCell ref="N45:O46"/>
    <mergeCell ref="P45:P46"/>
    <mergeCell ref="Q45:Q46"/>
    <mergeCell ref="A45:A46"/>
    <mergeCell ref="B45:B46"/>
    <mergeCell ref="C45:C46"/>
    <mergeCell ref="D45:E46"/>
    <mergeCell ref="F45:G45"/>
    <mergeCell ref="H45:I47"/>
    <mergeCell ref="A52:A54"/>
    <mergeCell ref="B52:B54"/>
    <mergeCell ref="D48:E48"/>
    <mergeCell ref="F48:G48"/>
    <mergeCell ref="H48:I54"/>
    <mergeCell ref="N48:O48"/>
    <mergeCell ref="D49:E49"/>
    <mergeCell ref="F49:G49"/>
    <mergeCell ref="L49:L50"/>
    <mergeCell ref="N49:O49"/>
    <mergeCell ref="D50:E50"/>
    <mergeCell ref="F50:G50"/>
    <mergeCell ref="N52:O52"/>
    <mergeCell ref="D53:E53"/>
    <mergeCell ref="F53:G53"/>
    <mergeCell ref="L53:L54"/>
    <mergeCell ref="N53:O53"/>
    <mergeCell ref="D54:E54"/>
    <mergeCell ref="F54:G54"/>
    <mergeCell ref="N54:O54"/>
    <mergeCell ref="N50:O50"/>
    <mergeCell ref="D51:E51"/>
    <mergeCell ref="F51:G51"/>
    <mergeCell ref="L51:L52"/>
    <mergeCell ref="N51:O51"/>
    <mergeCell ref="C52:C54"/>
    <mergeCell ref="D52:E52"/>
    <mergeCell ref="F52:G52"/>
    <mergeCell ref="AX64:AZ65"/>
    <mergeCell ref="BA64:BG65"/>
    <mergeCell ref="BH64:BJ65"/>
    <mergeCell ref="AX66:AZ70"/>
    <mergeCell ref="BA66:BB70"/>
    <mergeCell ref="BC66:BG70"/>
    <mergeCell ref="BH66:BJ70"/>
    <mergeCell ref="A56:S56"/>
    <mergeCell ref="A58:A59"/>
    <mergeCell ref="B58:C58"/>
    <mergeCell ref="D58:F58"/>
    <mergeCell ref="G58:H58"/>
    <mergeCell ref="B59:C59"/>
    <mergeCell ref="D59:F59"/>
    <mergeCell ref="G59:H59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36" orientation="landscape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4A62-7B70-40C0-9F40-BD97A75870FA}">
  <sheetPr>
    <tabColor rgb="FFC00000"/>
    <pageSetUpPr fitToPage="1"/>
  </sheetPr>
  <dimension ref="A1:BD71"/>
  <sheetViews>
    <sheetView showGridLines="0" zoomScale="55" zoomScaleNormal="55" zoomScaleSheetLayoutView="25" zoomScalePageLayoutView="30" workbookViewId="0">
      <selection activeCell="S2" sqref="S2"/>
    </sheetView>
  </sheetViews>
  <sheetFormatPr defaultRowHeight="30" x14ac:dyDescent="0.2"/>
  <cols>
    <col min="1" max="2" width="15.7109375" style="306" customWidth="1"/>
    <col min="3" max="3" width="1.7109375" style="306" customWidth="1"/>
    <col min="4" max="4" width="40.7109375" style="306" customWidth="1"/>
    <col min="5" max="5" width="20.7109375" style="306" customWidth="1"/>
    <col min="6" max="6" width="22.7109375" style="306" customWidth="1"/>
    <col min="7" max="17" width="20.7109375" style="306" customWidth="1"/>
    <col min="18" max="19" width="20.7109375" style="279" customWidth="1"/>
    <col min="20" max="20" width="10.7109375" style="279" customWidth="1"/>
    <col min="21" max="21" width="13.42578125" style="1003" hidden="1" customWidth="1"/>
    <col min="22" max="23" width="13.42578125" style="278" hidden="1" customWidth="1"/>
    <col min="24" max="24" width="14.5703125" style="278" hidden="1" customWidth="1"/>
    <col min="25" max="25" width="14.7109375" style="278" hidden="1" customWidth="1"/>
    <col min="26" max="29" width="13" style="278" hidden="1" customWidth="1"/>
    <col min="30" max="30" width="13" style="278" bestFit="1" customWidth="1"/>
    <col min="31" max="31" width="14.85546875" style="279" bestFit="1" customWidth="1"/>
    <col min="32" max="32" width="14.85546875" style="279" customWidth="1"/>
    <col min="33" max="36" width="14.85546875" style="279" bestFit="1" customWidth="1"/>
    <col min="37" max="37" width="17.42578125" style="279" bestFit="1" customWidth="1"/>
    <col min="38" max="16384" width="9.140625" style="279"/>
  </cols>
  <sheetData>
    <row r="1" spans="1:56" ht="75.75" customHeight="1" x14ac:dyDescent="0.2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</row>
    <row r="2" spans="1:56" ht="33" customHeight="1" x14ac:dyDescent="0.2">
      <c r="C2" s="2298" t="s">
        <v>800</v>
      </c>
      <c r="D2" s="2298"/>
      <c r="E2" s="2298"/>
      <c r="F2" s="2298"/>
      <c r="G2" s="2298"/>
      <c r="H2" s="2298"/>
      <c r="I2" s="2298"/>
      <c r="J2" s="2298"/>
      <c r="K2" s="2298"/>
      <c r="L2" s="2298"/>
      <c r="M2" s="2298"/>
      <c r="N2" s="2298"/>
      <c r="R2" s="919" t="s">
        <v>132</v>
      </c>
      <c r="S2" s="469">
        <f>'Панельные ограждения GL (стр.1)'!N2</f>
        <v>46197</v>
      </c>
      <c r="T2" s="920"/>
      <c r="U2" s="2296" t="s">
        <v>10</v>
      </c>
      <c r="V2" s="2296"/>
      <c r="W2" s="2296"/>
      <c r="X2" s="2296"/>
      <c r="Y2" s="2296"/>
      <c r="Z2" s="2296"/>
      <c r="AA2" s="2296"/>
      <c r="AB2" s="2296"/>
      <c r="AC2" s="2296"/>
      <c r="AD2" s="930"/>
      <c r="AE2" s="930"/>
      <c r="AF2" s="930"/>
      <c r="AG2" s="930"/>
      <c r="AH2" s="930"/>
      <c r="AI2" s="930"/>
      <c r="AJ2" s="930"/>
      <c r="AK2" s="930"/>
      <c r="AL2" s="930"/>
      <c r="AM2" s="930"/>
      <c r="AN2" s="930"/>
      <c r="AO2" s="930"/>
      <c r="AP2" s="930"/>
      <c r="AQ2" s="930"/>
      <c r="AR2" s="930"/>
      <c r="AS2" s="930"/>
      <c r="AT2" s="930"/>
      <c r="AU2" s="930"/>
      <c r="AV2" s="930"/>
      <c r="AW2" s="930"/>
      <c r="AX2" s="930"/>
      <c r="AY2" s="930"/>
      <c r="AZ2" s="930"/>
      <c r="BA2" s="930"/>
      <c r="BB2" s="930"/>
      <c r="BC2" s="930"/>
      <c r="BD2" s="930"/>
    </row>
    <row r="3" spans="1:56" ht="30" customHeight="1" x14ac:dyDescent="0.2">
      <c r="A3" s="2294" t="s">
        <v>801</v>
      </c>
      <c r="B3" s="2294"/>
      <c r="C3" s="279"/>
      <c r="D3" s="2270" t="s">
        <v>71</v>
      </c>
      <c r="E3" s="2284" t="s">
        <v>784</v>
      </c>
      <c r="F3" s="2281" t="s">
        <v>785</v>
      </c>
      <c r="G3" s="2281"/>
      <c r="H3" s="279"/>
      <c r="I3" s="2270" t="s">
        <v>71</v>
      </c>
      <c r="J3" s="2270"/>
      <c r="K3" s="2284" t="s">
        <v>784</v>
      </c>
      <c r="L3" s="2281" t="s">
        <v>785</v>
      </c>
      <c r="M3" s="2281"/>
      <c r="N3" s="279"/>
      <c r="O3" s="2246" t="s">
        <v>793</v>
      </c>
      <c r="P3" s="2247"/>
      <c r="Q3" s="2247"/>
      <c r="R3" s="2247"/>
      <c r="S3" s="2248"/>
      <c r="U3" s="1004"/>
      <c r="V3" s="948"/>
      <c r="W3" s="948"/>
      <c r="X3" s="279"/>
      <c r="Y3" s="1001"/>
      <c r="Z3" s="1001"/>
      <c r="AA3" s="1001"/>
      <c r="AB3" s="948"/>
      <c r="AC3" s="948"/>
      <c r="AD3" s="930"/>
      <c r="AE3" s="930"/>
      <c r="AF3" s="930"/>
      <c r="AG3" s="930"/>
      <c r="AH3" s="930"/>
      <c r="AI3" s="930"/>
      <c r="AJ3" s="930"/>
      <c r="AK3" s="930"/>
      <c r="AL3" s="930"/>
      <c r="AM3" s="930"/>
      <c r="AN3" s="930"/>
      <c r="AO3" s="930"/>
      <c r="AP3" s="930"/>
      <c r="AQ3" s="930"/>
      <c r="AR3" s="930"/>
      <c r="AS3" s="930"/>
      <c r="AT3" s="930"/>
      <c r="AU3" s="930"/>
      <c r="AV3" s="930"/>
      <c r="AW3" s="930"/>
      <c r="AX3" s="930"/>
      <c r="AY3" s="930"/>
      <c r="AZ3" s="930"/>
      <c r="BA3" s="930"/>
      <c r="BB3" s="930"/>
      <c r="BC3" s="930"/>
      <c r="BD3" s="930"/>
    </row>
    <row r="4" spans="1:56" ht="30" customHeight="1" x14ac:dyDescent="0.2">
      <c r="A4" s="2294"/>
      <c r="B4" s="2294"/>
      <c r="C4" s="279"/>
      <c r="D4" s="2270"/>
      <c r="E4" s="2285"/>
      <c r="F4" s="940">
        <v>1</v>
      </c>
      <c r="G4" s="940">
        <v>1.5</v>
      </c>
      <c r="H4" s="279"/>
      <c r="I4" s="2270"/>
      <c r="J4" s="2270"/>
      <c r="K4" s="2285"/>
      <c r="L4" s="940">
        <v>3.6</v>
      </c>
      <c r="M4" s="940">
        <v>4</v>
      </c>
      <c r="N4" s="279"/>
      <c r="O4" s="2272" t="s">
        <v>798</v>
      </c>
      <c r="P4" s="2273"/>
      <c r="Q4" s="2273"/>
      <c r="R4" s="2273"/>
      <c r="S4" s="2274"/>
      <c r="U4" s="1004"/>
      <c r="V4" s="1010">
        <v>1</v>
      </c>
      <c r="W4" s="1010">
        <v>1.5</v>
      </c>
      <c r="X4" s="1014"/>
      <c r="Y4" s="1004"/>
      <c r="Z4" s="1004"/>
      <c r="AA4" s="1004"/>
      <c r="AB4" s="1010">
        <v>3.6</v>
      </c>
      <c r="AC4" s="1010">
        <v>4</v>
      </c>
      <c r="AD4" s="930"/>
      <c r="AE4" s="930"/>
      <c r="AF4" s="930"/>
      <c r="AG4" s="930"/>
      <c r="AH4" s="930"/>
      <c r="AI4" s="930"/>
      <c r="AJ4" s="930"/>
      <c r="AK4" s="930"/>
      <c r="AL4" s="930"/>
      <c r="AM4" s="930"/>
      <c r="AN4" s="930"/>
      <c r="AO4" s="930"/>
      <c r="AP4" s="930"/>
      <c r="AQ4" s="930"/>
      <c r="AR4" s="930"/>
      <c r="AS4" s="930"/>
      <c r="AT4" s="930"/>
      <c r="AU4" s="930"/>
      <c r="AV4" s="930"/>
      <c r="AW4" s="930"/>
      <c r="AX4" s="930"/>
      <c r="AY4" s="930"/>
      <c r="AZ4" s="930"/>
      <c r="BA4" s="930"/>
      <c r="BB4" s="930"/>
      <c r="BC4" s="930"/>
      <c r="BD4" s="930"/>
    </row>
    <row r="5" spans="1:56" ht="30" customHeight="1" x14ac:dyDescent="0.2">
      <c r="A5" s="2294"/>
      <c r="B5" s="2294"/>
      <c r="C5" s="279"/>
      <c r="D5" s="1615" t="s">
        <v>786</v>
      </c>
      <c r="E5" s="977">
        <v>1.68</v>
      </c>
      <c r="F5" s="978">
        <f>IF(V5&gt;0,(ROUND(V5*BelarusV*(1-$D$56),0)),"-")</f>
        <v>39085</v>
      </c>
      <c r="G5" s="978">
        <f t="shared" ref="G5:G7" si="0">IF(W5&gt;0,(ROUND(W5*BelarusV*(1-$D$56),0)),"-")</f>
        <v>42500</v>
      </c>
      <c r="H5" s="279"/>
      <c r="I5" s="2090" t="s">
        <v>789</v>
      </c>
      <c r="J5" s="2090"/>
      <c r="K5" s="977">
        <v>1.68</v>
      </c>
      <c r="L5" s="978">
        <f t="shared" ref="L5:L6" si="1">IF(AB5&gt;0,(ROUND(AB5*BelarusV*(1-$D$56),0)),"-")</f>
        <v>65735</v>
      </c>
      <c r="M5" s="978">
        <f t="shared" ref="M5:M6" si="2">IF(AC5&gt;0,(ROUND(AC5*BelarusV*(1-$D$56),0)),"-")</f>
        <v>77080</v>
      </c>
      <c r="N5" s="279"/>
      <c r="O5" s="2275"/>
      <c r="P5" s="2276"/>
      <c r="Q5" s="2276"/>
      <c r="R5" s="2276"/>
      <c r="S5" s="2277"/>
      <c r="U5" s="1005">
        <v>1.68</v>
      </c>
      <c r="V5" s="930">
        <v>39085</v>
      </c>
      <c r="W5" s="930">
        <v>42500</v>
      </c>
      <c r="X5" s="279"/>
      <c r="Y5" s="16"/>
      <c r="Z5" s="16"/>
      <c r="AA5" s="1005">
        <v>1.68</v>
      </c>
      <c r="AB5" s="930">
        <v>65735</v>
      </c>
      <c r="AC5" s="930">
        <v>77080</v>
      </c>
      <c r="AD5" s="930"/>
      <c r="AE5" s="930"/>
      <c r="AF5" s="930"/>
      <c r="AG5" s="930"/>
      <c r="AH5" s="930"/>
      <c r="AI5" s="930"/>
      <c r="AJ5" s="930"/>
      <c r="AK5" s="930"/>
      <c r="AL5" s="930"/>
      <c r="AM5" s="930"/>
      <c r="AN5" s="930"/>
      <c r="AO5" s="930"/>
      <c r="AP5" s="930"/>
      <c r="AQ5" s="930"/>
      <c r="AR5" s="930"/>
      <c r="AS5" s="930"/>
      <c r="AT5" s="930"/>
      <c r="AU5" s="930"/>
      <c r="AV5" s="930"/>
      <c r="AW5" s="930"/>
      <c r="AX5" s="930"/>
      <c r="AY5" s="930"/>
      <c r="AZ5" s="930"/>
      <c r="BA5" s="930"/>
      <c r="BB5" s="930"/>
      <c r="BC5" s="930"/>
      <c r="BD5" s="930"/>
    </row>
    <row r="6" spans="1:56" ht="30" customHeight="1" x14ac:dyDescent="0.2">
      <c r="A6" s="2294"/>
      <c r="B6" s="2294"/>
      <c r="C6" s="279"/>
      <c r="D6" s="1615"/>
      <c r="E6" s="979">
        <v>2</v>
      </c>
      <c r="F6" s="980">
        <f t="shared" ref="F6:F7" si="3">IF(V6&gt;0,(ROUND(V6*BelarusV*(1-$D$56),0)),"-")</f>
        <v>40796</v>
      </c>
      <c r="G6" s="980">
        <f t="shared" si="0"/>
        <v>43883</v>
      </c>
      <c r="H6" s="279"/>
      <c r="I6" s="2090"/>
      <c r="J6" s="2090"/>
      <c r="K6" s="981">
        <v>2</v>
      </c>
      <c r="L6" s="982">
        <f t="shared" si="1"/>
        <v>84454</v>
      </c>
      <c r="M6" s="982">
        <f t="shared" si="2"/>
        <v>96976</v>
      </c>
      <c r="N6" s="279"/>
      <c r="O6" s="2278"/>
      <c r="P6" s="2279"/>
      <c r="Q6" s="2279"/>
      <c r="R6" s="2279"/>
      <c r="S6" s="2280"/>
      <c r="U6" s="1006">
        <v>2</v>
      </c>
      <c r="V6" s="930">
        <v>40796</v>
      </c>
      <c r="W6" s="930">
        <v>43883</v>
      </c>
      <c r="X6" s="279"/>
      <c r="Y6" s="16"/>
      <c r="Z6" s="16"/>
      <c r="AA6" s="1006">
        <v>2</v>
      </c>
      <c r="AB6" s="930">
        <v>84454</v>
      </c>
      <c r="AC6" s="930">
        <v>96976</v>
      </c>
      <c r="AD6" s="930"/>
      <c r="AE6" s="930"/>
      <c r="AF6" s="930"/>
      <c r="AG6" s="930"/>
      <c r="AH6" s="930"/>
      <c r="AI6" s="930"/>
      <c r="AJ6" s="930"/>
      <c r="AK6" s="930"/>
      <c r="AL6" s="930"/>
      <c r="AM6" s="930"/>
      <c r="AN6" s="930"/>
      <c r="AO6" s="930"/>
      <c r="AP6" s="930"/>
      <c r="AQ6" s="930"/>
      <c r="AR6" s="930"/>
      <c r="AS6" s="930"/>
      <c r="AT6" s="930"/>
      <c r="AU6" s="930"/>
      <c r="AV6" s="930"/>
      <c r="AW6" s="930"/>
      <c r="AX6" s="930"/>
      <c r="AY6" s="930"/>
      <c r="AZ6" s="930"/>
      <c r="BA6" s="930"/>
      <c r="BB6" s="930"/>
      <c r="BC6" s="930"/>
      <c r="BD6" s="930"/>
    </row>
    <row r="7" spans="1:56" ht="30" customHeight="1" x14ac:dyDescent="0.2">
      <c r="A7" s="1981"/>
      <c r="B7" s="1981"/>
      <c r="C7" s="279"/>
      <c r="D7" s="1455"/>
      <c r="E7" s="981">
        <v>2.5</v>
      </c>
      <c r="F7" s="982">
        <f t="shared" si="3"/>
        <v>47933</v>
      </c>
      <c r="G7" s="983" t="str">
        <f t="shared" si="0"/>
        <v>-</v>
      </c>
      <c r="H7" s="918"/>
      <c r="I7" s="918"/>
      <c r="J7" s="918"/>
      <c r="K7" s="918"/>
      <c r="L7" s="15"/>
      <c r="M7" s="15"/>
      <c r="N7" s="921"/>
      <c r="O7" s="921"/>
      <c r="P7" s="921"/>
      <c r="Q7" s="921"/>
      <c r="R7" s="379"/>
      <c r="U7" s="1006">
        <v>2.5</v>
      </c>
      <c r="V7" s="930">
        <v>47933</v>
      </c>
      <c r="W7" s="931"/>
      <c r="X7" s="918"/>
      <c r="Y7" s="918"/>
      <c r="Z7" s="918"/>
      <c r="AA7" s="1005"/>
      <c r="AB7" s="15"/>
      <c r="AC7" s="15"/>
      <c r="AD7" s="930"/>
      <c r="AE7" s="930"/>
      <c r="AF7" s="930"/>
      <c r="AG7" s="930"/>
      <c r="AH7" s="930"/>
      <c r="AI7" s="930"/>
      <c r="AJ7" s="930"/>
      <c r="AK7" s="930"/>
      <c r="AL7" s="930"/>
      <c r="AM7" s="930"/>
      <c r="AN7" s="930"/>
      <c r="AO7" s="930"/>
      <c r="AP7" s="930"/>
      <c r="AQ7" s="930"/>
      <c r="AR7" s="930"/>
      <c r="AS7" s="930"/>
      <c r="AT7" s="930"/>
      <c r="AU7" s="930"/>
      <c r="AV7" s="930"/>
      <c r="AW7" s="930"/>
      <c r="AX7" s="930"/>
      <c r="AY7" s="930"/>
      <c r="AZ7" s="930"/>
      <c r="BA7" s="930"/>
      <c r="BB7" s="930"/>
      <c r="BC7" s="930"/>
      <c r="BD7" s="930"/>
    </row>
    <row r="8" spans="1:56" ht="9.9499999999999993" customHeight="1" x14ac:dyDescent="0.2">
      <c r="A8" s="1981"/>
      <c r="B8" s="1981"/>
      <c r="D8" s="16"/>
      <c r="E8" s="918"/>
      <c r="F8" s="918"/>
      <c r="G8" s="918"/>
      <c r="H8" s="918"/>
      <c r="I8" s="918"/>
      <c r="J8" s="918"/>
      <c r="K8" s="918"/>
      <c r="L8" s="15"/>
      <c r="M8" s="15"/>
      <c r="N8" s="921"/>
      <c r="O8" s="921"/>
      <c r="P8" s="921"/>
      <c r="Q8" s="921"/>
      <c r="R8" s="379"/>
      <c r="U8" s="1005"/>
      <c r="V8" s="918"/>
      <c r="W8" s="918"/>
      <c r="X8" s="918"/>
      <c r="Y8" s="918"/>
      <c r="Z8" s="918"/>
      <c r="AA8" s="918"/>
      <c r="AB8" s="15"/>
      <c r="AC8" s="15"/>
      <c r="AD8" s="930"/>
      <c r="AE8" s="930"/>
      <c r="AF8" s="930"/>
      <c r="AG8" s="930"/>
      <c r="AH8" s="930"/>
      <c r="AI8" s="930"/>
      <c r="AJ8" s="930"/>
      <c r="AK8" s="930"/>
      <c r="AL8" s="930"/>
      <c r="AM8" s="930"/>
      <c r="AN8" s="930"/>
      <c r="AO8" s="930"/>
      <c r="AP8" s="930"/>
      <c r="AQ8" s="930"/>
      <c r="AR8" s="930"/>
      <c r="AS8" s="930"/>
      <c r="AT8" s="930"/>
      <c r="AU8" s="930"/>
      <c r="AV8" s="930"/>
      <c r="AW8" s="930"/>
      <c r="AX8" s="930"/>
      <c r="AY8" s="930"/>
      <c r="AZ8" s="930"/>
      <c r="BA8" s="930"/>
      <c r="BB8" s="930"/>
      <c r="BC8" s="930"/>
      <c r="BD8" s="930"/>
    </row>
    <row r="9" spans="1:56" ht="30" customHeight="1" x14ac:dyDescent="0.2">
      <c r="A9" s="1981"/>
      <c r="B9" s="1981"/>
      <c r="C9" s="279"/>
      <c r="D9" s="2270" t="s">
        <v>71</v>
      </c>
      <c r="E9" s="2270" t="s">
        <v>784</v>
      </c>
      <c r="F9" s="2281" t="s">
        <v>785</v>
      </c>
      <c r="G9" s="2281"/>
      <c r="H9" s="2281"/>
      <c r="I9" s="2281"/>
      <c r="J9" s="2281"/>
      <c r="K9" s="2281"/>
      <c r="L9" s="279"/>
      <c r="M9" s="279"/>
      <c r="N9" s="944"/>
      <c r="O9" s="2244" t="s">
        <v>794</v>
      </c>
      <c r="P9" s="2245"/>
      <c r="Q9" s="2245"/>
      <c r="R9" s="2245"/>
      <c r="S9" s="2245"/>
      <c r="U9" s="1004"/>
      <c r="V9" s="948"/>
      <c r="W9" s="948"/>
      <c r="X9" s="948"/>
      <c r="Y9" s="948"/>
      <c r="Z9" s="948"/>
      <c r="AA9" s="948"/>
      <c r="AB9" s="279"/>
      <c r="AC9" s="279"/>
      <c r="AD9" s="930"/>
      <c r="AE9" s="930"/>
      <c r="AF9" s="930"/>
      <c r="AG9" s="930"/>
      <c r="AH9" s="930"/>
      <c r="AI9" s="930"/>
      <c r="AJ9" s="930"/>
      <c r="AK9" s="930"/>
      <c r="AL9" s="930"/>
      <c r="AM9" s="930"/>
      <c r="AN9" s="930"/>
      <c r="AO9" s="930"/>
      <c r="AP9" s="930"/>
      <c r="AQ9" s="930"/>
      <c r="AR9" s="930"/>
      <c r="AS9" s="930"/>
      <c r="AT9" s="930"/>
      <c r="AU9" s="930"/>
      <c r="AV9" s="930"/>
      <c r="AW9" s="930"/>
      <c r="AX9" s="930"/>
      <c r="AY9" s="930"/>
      <c r="AZ9" s="930"/>
      <c r="BA9" s="930"/>
      <c r="BB9" s="930"/>
      <c r="BC9" s="930"/>
      <c r="BD9" s="930"/>
    </row>
    <row r="10" spans="1:56" ht="30" customHeight="1" x14ac:dyDescent="0.2">
      <c r="A10" s="1981"/>
      <c r="B10" s="1981"/>
      <c r="C10" s="279"/>
      <c r="D10" s="2270"/>
      <c r="E10" s="2270"/>
      <c r="F10" s="940">
        <v>3.5</v>
      </c>
      <c r="G10" s="940">
        <v>4</v>
      </c>
      <c r="H10" s="940">
        <v>4.5</v>
      </c>
      <c r="I10" s="940">
        <v>5</v>
      </c>
      <c r="J10" s="940">
        <v>5.5</v>
      </c>
      <c r="K10" s="940">
        <v>6</v>
      </c>
      <c r="L10" s="279"/>
      <c r="M10" s="279"/>
      <c r="N10" s="279"/>
      <c r="O10" s="2267" t="s">
        <v>797</v>
      </c>
      <c r="P10" s="2268"/>
      <c r="Q10" s="2268"/>
      <c r="R10" s="2268"/>
      <c r="S10" s="2268"/>
      <c r="U10" s="1004"/>
      <c r="V10" s="1010">
        <v>3.5</v>
      </c>
      <c r="W10" s="1010">
        <v>4</v>
      </c>
      <c r="X10" s="1010">
        <v>4.5</v>
      </c>
      <c r="Y10" s="1010">
        <v>5</v>
      </c>
      <c r="Z10" s="1010">
        <v>5.5</v>
      </c>
      <c r="AA10" s="1010">
        <v>6</v>
      </c>
      <c r="AB10" s="279"/>
      <c r="AC10" s="279"/>
      <c r="AD10" s="930"/>
      <c r="AE10" s="930"/>
      <c r="AF10" s="930"/>
      <c r="AG10" s="930"/>
      <c r="AH10" s="930"/>
      <c r="AI10" s="930"/>
      <c r="AJ10" s="930"/>
      <c r="AK10" s="930"/>
      <c r="AL10" s="930"/>
      <c r="AM10" s="930"/>
      <c r="AN10" s="930"/>
      <c r="AO10" s="930"/>
      <c r="AP10" s="930"/>
      <c r="AQ10" s="930"/>
      <c r="AR10" s="930"/>
      <c r="AS10" s="930"/>
      <c r="AT10" s="930"/>
      <c r="AU10" s="930"/>
      <c r="AV10" s="930"/>
      <c r="AW10" s="930"/>
      <c r="AX10" s="930"/>
      <c r="AY10" s="930"/>
      <c r="AZ10" s="930"/>
      <c r="BA10" s="930"/>
      <c r="BB10" s="930"/>
      <c r="BC10" s="930"/>
      <c r="BD10" s="930"/>
    </row>
    <row r="11" spans="1:56" ht="30" customHeight="1" x14ac:dyDescent="0.2">
      <c r="A11" s="1981"/>
      <c r="B11" s="1981"/>
      <c r="C11" s="279"/>
      <c r="D11" s="1615" t="s">
        <v>787</v>
      </c>
      <c r="E11" s="977">
        <v>1.68</v>
      </c>
      <c r="F11" s="978">
        <f t="shared" ref="F11:F13" si="4">IF(V11&gt;0,(ROUND(V11*BelarusV*(1-$D$56),0)),"-")</f>
        <v>103734</v>
      </c>
      <c r="G11" s="978">
        <f t="shared" ref="G11:G13" si="5">IF(W11&gt;0,(ROUND(W11*BelarusV*(1-$D$56),0)),"-")</f>
        <v>109354</v>
      </c>
      <c r="H11" s="978">
        <f t="shared" ref="H11:H13" si="6">IF(X11&gt;0,(ROUND(X11*BelarusV*(1-$D$56),0)),"-")</f>
        <v>132620</v>
      </c>
      <c r="I11" s="984" t="str">
        <f t="shared" ref="I11:I13" si="7">IF(Y11&gt;0,(ROUND(Y11*BelarusV*(1-$D$56),0)),"-")</f>
        <v>-</v>
      </c>
      <c r="J11" s="984" t="str">
        <f t="shared" ref="J11:J13" si="8">IF(Z11&gt;0,(ROUND(Z11*BelarusV*(1-$D$56),0)),"-")</f>
        <v>-</v>
      </c>
      <c r="K11" s="984" t="str">
        <f t="shared" ref="K11:K13" si="9">IF(AA11&gt;0,(ROUND(AA11*BelarusV*(1-$D$56),0)),"-")</f>
        <v>-</v>
      </c>
      <c r="L11" s="279"/>
      <c r="M11" s="943"/>
      <c r="N11" s="943"/>
      <c r="O11" s="2267"/>
      <c r="P11" s="2268"/>
      <c r="Q11" s="2268"/>
      <c r="R11" s="2268"/>
      <c r="S11" s="2268"/>
      <c r="U11" s="1005">
        <v>1.68</v>
      </c>
      <c r="V11" s="930">
        <v>103734</v>
      </c>
      <c r="W11" s="930">
        <v>109354</v>
      </c>
      <c r="X11" s="930">
        <v>132620</v>
      </c>
      <c r="Y11" s="931"/>
      <c r="Z11" s="931"/>
      <c r="AA11" s="931"/>
      <c r="AB11" s="279"/>
      <c r="AC11" s="943"/>
      <c r="AD11" s="930"/>
      <c r="AE11" s="930"/>
      <c r="AF11" s="930"/>
      <c r="AG11" s="930"/>
      <c r="AH11" s="930"/>
      <c r="AI11" s="930"/>
      <c r="AJ11" s="930"/>
      <c r="AK11" s="930"/>
      <c r="AL11" s="930"/>
      <c r="AM11" s="930"/>
      <c r="AN11" s="930"/>
      <c r="AO11" s="930"/>
      <c r="AP11" s="930"/>
      <c r="AQ11" s="930"/>
      <c r="AR11" s="930"/>
      <c r="AS11" s="930"/>
      <c r="AT11" s="930"/>
      <c r="AU11" s="930"/>
      <c r="AV11" s="930"/>
      <c r="AW11" s="930"/>
      <c r="AX11" s="930"/>
      <c r="AY11" s="930"/>
      <c r="AZ11" s="930"/>
      <c r="BA11" s="930"/>
      <c r="BB11" s="930"/>
      <c r="BC11" s="930"/>
      <c r="BD11" s="930"/>
    </row>
    <row r="12" spans="1:56" ht="30" customHeight="1" x14ac:dyDescent="0.2">
      <c r="A12" s="1981"/>
      <c r="B12" s="1981"/>
      <c r="C12" s="279"/>
      <c r="D12" s="1615"/>
      <c r="E12" s="979">
        <v>2</v>
      </c>
      <c r="F12" s="980">
        <f t="shared" si="4"/>
        <v>111504</v>
      </c>
      <c r="G12" s="980">
        <f t="shared" si="5"/>
        <v>117016</v>
      </c>
      <c r="H12" s="980">
        <f t="shared" si="6"/>
        <v>131655</v>
      </c>
      <c r="I12" s="980">
        <f t="shared" si="7"/>
        <v>179967</v>
      </c>
      <c r="J12" s="980">
        <f t="shared" si="8"/>
        <v>200542</v>
      </c>
      <c r="K12" s="980">
        <f t="shared" si="9"/>
        <v>207761</v>
      </c>
      <c r="L12" s="279"/>
      <c r="M12" s="943"/>
      <c r="N12" s="943"/>
      <c r="O12" s="2267"/>
      <c r="P12" s="2268"/>
      <c r="Q12" s="2268"/>
      <c r="R12" s="2268"/>
      <c r="S12" s="2268"/>
      <c r="U12" s="1006">
        <v>2</v>
      </c>
      <c r="V12" s="930">
        <v>111504</v>
      </c>
      <c r="W12" s="930">
        <v>117016</v>
      </c>
      <c r="X12" s="930">
        <v>131655</v>
      </c>
      <c r="Y12" s="930">
        <v>179967</v>
      </c>
      <c r="Z12" s="930">
        <v>200542</v>
      </c>
      <c r="AA12" s="930">
        <v>207761</v>
      </c>
      <c r="AB12" s="279"/>
      <c r="AC12" s="943"/>
      <c r="AD12" s="930"/>
      <c r="AE12" s="930"/>
      <c r="AF12" s="930"/>
      <c r="AG12" s="930"/>
      <c r="AH12" s="930"/>
      <c r="AI12" s="930"/>
      <c r="AJ12" s="930"/>
      <c r="AK12" s="930"/>
      <c r="AL12" s="930"/>
      <c r="AM12" s="930"/>
      <c r="AN12" s="930"/>
      <c r="AO12" s="930"/>
      <c r="AP12" s="930"/>
      <c r="AQ12" s="930"/>
      <c r="AR12" s="930"/>
      <c r="AS12" s="930"/>
      <c r="AT12" s="930"/>
      <c r="AU12" s="930"/>
      <c r="AV12" s="930"/>
      <c r="AW12" s="930"/>
      <c r="AX12" s="930"/>
      <c r="AY12" s="930"/>
      <c r="AZ12" s="930"/>
      <c r="BA12" s="930"/>
      <c r="BB12" s="930"/>
      <c r="BC12" s="930"/>
      <c r="BD12" s="930"/>
    </row>
    <row r="13" spans="1:56" ht="30" customHeight="1" x14ac:dyDescent="0.2">
      <c r="A13" s="1981"/>
      <c r="B13" s="1981"/>
      <c r="C13" s="279"/>
      <c r="D13" s="1455"/>
      <c r="E13" s="981">
        <v>2.5</v>
      </c>
      <c r="F13" s="982">
        <f t="shared" si="4"/>
        <v>133574</v>
      </c>
      <c r="G13" s="982">
        <f t="shared" si="5"/>
        <v>139560</v>
      </c>
      <c r="H13" s="983" t="str">
        <f t="shared" si="6"/>
        <v>-</v>
      </c>
      <c r="I13" s="983" t="str">
        <f t="shared" si="7"/>
        <v>-</v>
      </c>
      <c r="J13" s="983" t="str">
        <f t="shared" si="8"/>
        <v>-</v>
      </c>
      <c r="K13" s="983" t="str">
        <f t="shared" si="9"/>
        <v>-</v>
      </c>
      <c r="L13" s="279"/>
      <c r="M13" s="943"/>
      <c r="N13" s="943"/>
      <c r="O13" s="2267"/>
      <c r="P13" s="2268"/>
      <c r="Q13" s="2268"/>
      <c r="R13" s="2268"/>
      <c r="S13" s="2268"/>
      <c r="U13" s="1006">
        <v>2.5</v>
      </c>
      <c r="V13" s="930">
        <v>133574</v>
      </c>
      <c r="W13" s="930">
        <v>139560</v>
      </c>
      <c r="X13" s="931"/>
      <c r="Y13" s="931"/>
      <c r="Z13" s="931"/>
      <c r="AA13" s="931"/>
      <c r="AB13" s="279"/>
      <c r="AC13" s="943"/>
      <c r="AD13" s="930"/>
      <c r="AE13" s="930"/>
      <c r="AF13" s="930"/>
      <c r="AG13" s="930"/>
      <c r="AH13" s="930"/>
      <c r="AI13" s="930"/>
      <c r="AJ13" s="930"/>
      <c r="AK13" s="930"/>
      <c r="AL13" s="930"/>
      <c r="AM13" s="930"/>
      <c r="AN13" s="930"/>
      <c r="AO13" s="930"/>
      <c r="AP13" s="930"/>
      <c r="AQ13" s="930"/>
      <c r="AR13" s="930"/>
      <c r="AS13" s="930"/>
      <c r="AT13" s="930"/>
      <c r="AU13" s="930"/>
      <c r="AV13" s="930"/>
      <c r="AW13" s="930"/>
      <c r="AX13" s="930"/>
      <c r="AY13" s="930"/>
      <c r="AZ13" s="930"/>
      <c r="BA13" s="930"/>
      <c r="BB13" s="930"/>
      <c r="BC13" s="930"/>
      <c r="BD13" s="930"/>
    </row>
    <row r="14" spans="1:56" ht="9.9499999999999993" customHeight="1" x14ac:dyDescent="0.2">
      <c r="A14" s="1981"/>
      <c r="B14" s="1981"/>
      <c r="D14" s="16"/>
      <c r="E14" s="918"/>
      <c r="F14" s="918"/>
      <c r="G14" s="918"/>
      <c r="H14" s="918"/>
      <c r="I14" s="918"/>
      <c r="J14" s="918"/>
      <c r="K14" s="918"/>
      <c r="L14" s="15"/>
      <c r="M14" s="15"/>
      <c r="N14" s="399"/>
      <c r="O14" s="399"/>
      <c r="P14" s="399"/>
      <c r="Q14" s="18"/>
      <c r="R14" s="379"/>
      <c r="S14" s="379"/>
      <c r="T14" s="413"/>
      <c r="U14" s="1005"/>
      <c r="V14" s="918"/>
      <c r="W14" s="918"/>
      <c r="X14" s="918"/>
      <c r="Y14" s="918"/>
      <c r="Z14" s="918"/>
      <c r="AA14" s="918"/>
      <c r="AB14" s="15"/>
      <c r="AC14" s="15"/>
      <c r="AD14" s="930"/>
      <c r="AE14" s="930"/>
      <c r="AF14" s="930"/>
      <c r="AG14" s="930"/>
      <c r="AH14" s="930"/>
      <c r="AI14" s="930"/>
      <c r="AJ14" s="930"/>
      <c r="AK14" s="930"/>
      <c r="AL14" s="930"/>
      <c r="AM14" s="930"/>
      <c r="AN14" s="930"/>
      <c r="AO14" s="930"/>
      <c r="AP14" s="930"/>
      <c r="AQ14" s="930"/>
      <c r="AR14" s="930"/>
      <c r="AS14" s="930"/>
      <c r="AT14" s="930"/>
      <c r="AU14" s="930"/>
      <c r="AV14" s="930"/>
      <c r="AW14" s="930"/>
      <c r="AX14" s="930"/>
      <c r="AY14" s="930"/>
      <c r="AZ14" s="930"/>
      <c r="BA14" s="930"/>
      <c r="BB14" s="930"/>
      <c r="BC14" s="930"/>
      <c r="BD14" s="930"/>
    </row>
    <row r="15" spans="1:56" ht="30" customHeight="1" x14ac:dyDescent="0.2">
      <c r="A15" s="1981"/>
      <c r="B15" s="1981"/>
      <c r="C15" s="926"/>
      <c r="D15" s="2270" t="s">
        <v>71</v>
      </c>
      <c r="E15" s="2284" t="s">
        <v>784</v>
      </c>
      <c r="F15" s="2281" t="s">
        <v>785</v>
      </c>
      <c r="G15" s="2281"/>
      <c r="H15" s="2281"/>
      <c r="I15" s="2281"/>
      <c r="J15" s="2281"/>
      <c r="K15" s="2282"/>
      <c r="L15" s="2246" t="s">
        <v>795</v>
      </c>
      <c r="M15" s="2247"/>
      <c r="N15" s="2247"/>
      <c r="O15" s="2247"/>
      <c r="P15" s="2247"/>
      <c r="Q15" s="2247"/>
      <c r="R15" s="2247"/>
      <c r="S15" s="2248"/>
      <c r="T15" s="285"/>
      <c r="U15" s="1004"/>
      <c r="V15" s="948"/>
      <c r="W15" s="948"/>
      <c r="X15" s="948"/>
      <c r="Y15" s="948"/>
      <c r="Z15" s="948"/>
      <c r="AA15" s="948"/>
      <c r="AB15" s="944"/>
      <c r="AC15" s="944"/>
      <c r="AD15" s="930"/>
      <c r="AE15" s="930"/>
      <c r="AF15" s="930"/>
      <c r="AG15" s="930"/>
      <c r="AH15" s="930"/>
      <c r="AI15" s="930"/>
      <c r="AJ15" s="930"/>
      <c r="AK15" s="930"/>
      <c r="AL15" s="930"/>
      <c r="AM15" s="930"/>
      <c r="AN15" s="930"/>
      <c r="AO15" s="930"/>
      <c r="AP15" s="930"/>
      <c r="AQ15" s="930"/>
      <c r="AR15" s="930"/>
      <c r="AS15" s="930"/>
      <c r="AT15" s="930"/>
      <c r="AU15" s="930"/>
      <c r="AV15" s="930"/>
      <c r="AW15" s="930"/>
      <c r="AX15" s="930"/>
      <c r="AY15" s="930"/>
      <c r="AZ15" s="930"/>
      <c r="BA15" s="930"/>
      <c r="BB15" s="930"/>
      <c r="BC15" s="930"/>
      <c r="BD15" s="930"/>
    </row>
    <row r="16" spans="1:56" s="278" customFormat="1" ht="30" customHeight="1" x14ac:dyDescent="0.2">
      <c r="A16" s="1981"/>
      <c r="B16" s="1981"/>
      <c r="C16" s="926"/>
      <c r="D16" s="2270"/>
      <c r="E16" s="2285"/>
      <c r="F16" s="940">
        <v>3.5</v>
      </c>
      <c r="G16" s="940">
        <v>4</v>
      </c>
      <c r="H16" s="940">
        <v>4.5</v>
      </c>
      <c r="I16" s="940">
        <v>5</v>
      </c>
      <c r="J16" s="940">
        <v>5.5</v>
      </c>
      <c r="K16" s="942">
        <v>6</v>
      </c>
      <c r="L16" s="2258" t="s">
        <v>799</v>
      </c>
      <c r="M16" s="2259"/>
      <c r="N16" s="2259"/>
      <c r="O16" s="2259"/>
      <c r="P16" s="2259"/>
      <c r="Q16" s="2259"/>
      <c r="R16" s="2259"/>
      <c r="S16" s="2260"/>
      <c r="T16" s="279"/>
      <c r="U16" s="1004"/>
      <c r="V16" s="1010">
        <v>3.5</v>
      </c>
      <c r="W16" s="1010">
        <v>4</v>
      </c>
      <c r="X16" s="1010">
        <v>4.5</v>
      </c>
      <c r="Y16" s="1010">
        <v>5</v>
      </c>
      <c r="Z16" s="1010">
        <v>5.5</v>
      </c>
      <c r="AA16" s="1010">
        <v>6</v>
      </c>
      <c r="AB16" s="379"/>
      <c r="AC16" s="379"/>
      <c r="AD16" s="930"/>
      <c r="AE16" s="930"/>
      <c r="AF16" s="930"/>
      <c r="AG16" s="930"/>
      <c r="AH16" s="930"/>
      <c r="AI16" s="930"/>
      <c r="AJ16" s="930"/>
      <c r="AK16" s="930"/>
      <c r="AL16" s="930"/>
      <c r="AM16" s="930"/>
      <c r="AN16" s="930"/>
      <c r="AO16" s="930"/>
      <c r="AP16" s="930"/>
      <c r="AQ16" s="930"/>
      <c r="AR16" s="930"/>
      <c r="AS16" s="930"/>
      <c r="AT16" s="930"/>
      <c r="AU16" s="930"/>
      <c r="AV16" s="930"/>
      <c r="AW16" s="930"/>
      <c r="AX16" s="930"/>
      <c r="AY16" s="930"/>
      <c r="AZ16" s="930"/>
      <c r="BA16" s="930"/>
      <c r="BB16" s="930"/>
      <c r="BC16" s="930"/>
      <c r="BD16" s="930"/>
    </row>
    <row r="17" spans="1:56" s="278" customFormat="1" ht="30" customHeight="1" x14ac:dyDescent="0.2">
      <c r="A17" s="1981"/>
      <c r="B17" s="1981"/>
      <c r="C17" s="306"/>
      <c r="D17" s="2090" t="s">
        <v>788</v>
      </c>
      <c r="E17" s="977">
        <v>1.68</v>
      </c>
      <c r="F17" s="978">
        <f t="shared" ref="F17:F19" si="10">IF(V17&gt;0,(ROUND(V17*BelarusV*(1-$D$56),0)),"-")</f>
        <v>89663</v>
      </c>
      <c r="G17" s="978">
        <f t="shared" ref="G17:G19" si="11">IF(W17&gt;0,(ROUND(W17*BelarusV*(1-$D$56),0)),"-")</f>
        <v>95282</v>
      </c>
      <c r="H17" s="978">
        <f t="shared" ref="H17:H19" si="12">IF(X17&gt;0,(ROUND(X17*BelarusV*(1-$D$56),0)),"-")</f>
        <v>109266</v>
      </c>
      <c r="I17" s="984" t="str">
        <f t="shared" ref="I17:I19" si="13">IF(Y17&gt;0,(ROUND(Y17*BelarusV*(1-$D$56),0)),"-")</f>
        <v>-</v>
      </c>
      <c r="J17" s="984" t="str">
        <f t="shared" ref="J17:J19" si="14">IF(Z17&gt;0,(ROUND(Z17*BelarusV*(1-$D$56),0)),"-")</f>
        <v>-</v>
      </c>
      <c r="K17" s="985" t="str">
        <f t="shared" ref="K17:K19" si="15">IF(AA17&gt;0,(ROUND(AA17*BelarusV*(1-$D$56),0)),"-")</f>
        <v>-</v>
      </c>
      <c r="L17" s="2261"/>
      <c r="M17" s="2262"/>
      <c r="N17" s="2262"/>
      <c r="O17" s="2262"/>
      <c r="P17" s="2262"/>
      <c r="Q17" s="2262"/>
      <c r="R17" s="2262"/>
      <c r="S17" s="2263"/>
      <c r="T17" s="562"/>
      <c r="U17" s="1005">
        <v>1.68</v>
      </c>
      <c r="V17" s="930">
        <v>89663</v>
      </c>
      <c r="W17" s="930">
        <v>95282</v>
      </c>
      <c r="X17" s="930">
        <v>109266</v>
      </c>
      <c r="Y17" s="931"/>
      <c r="Z17" s="931"/>
      <c r="AA17" s="931"/>
      <c r="AB17" s="379"/>
      <c r="AC17" s="379"/>
      <c r="AD17" s="930"/>
      <c r="AE17" s="930"/>
      <c r="AF17" s="930"/>
      <c r="AG17" s="930"/>
      <c r="AH17" s="930"/>
      <c r="AI17" s="930"/>
      <c r="AJ17" s="930"/>
      <c r="AK17" s="930"/>
      <c r="AL17" s="930"/>
      <c r="AM17" s="930"/>
      <c r="AN17" s="930"/>
      <c r="AO17" s="930"/>
      <c r="AP17" s="930"/>
      <c r="AQ17" s="930"/>
      <c r="AR17" s="930"/>
      <c r="AS17" s="930"/>
      <c r="AT17" s="930"/>
      <c r="AU17" s="930"/>
      <c r="AV17" s="930"/>
      <c r="AW17" s="930"/>
      <c r="AX17" s="930"/>
      <c r="AY17" s="930"/>
      <c r="AZ17" s="930"/>
      <c r="BA17" s="930"/>
      <c r="BB17" s="930"/>
      <c r="BC17" s="930"/>
      <c r="BD17" s="930"/>
    </row>
    <row r="18" spans="1:56" s="278" customFormat="1" ht="30" customHeight="1" x14ac:dyDescent="0.2">
      <c r="A18" s="1981"/>
      <c r="B18" s="1981"/>
      <c r="C18" s="306"/>
      <c r="D18" s="2090"/>
      <c r="E18" s="979">
        <v>2</v>
      </c>
      <c r="F18" s="980">
        <f t="shared" si="10"/>
        <v>95593</v>
      </c>
      <c r="G18" s="980">
        <f t="shared" si="11"/>
        <v>101107</v>
      </c>
      <c r="H18" s="980">
        <f t="shared" si="12"/>
        <v>115746</v>
      </c>
      <c r="I18" s="980">
        <f t="shared" si="13"/>
        <v>154437</v>
      </c>
      <c r="J18" s="980">
        <f t="shared" si="14"/>
        <v>167122</v>
      </c>
      <c r="K18" s="986">
        <f t="shared" si="15"/>
        <v>174332</v>
      </c>
      <c r="L18" s="2261"/>
      <c r="M18" s="2262"/>
      <c r="N18" s="2262"/>
      <c r="O18" s="2262"/>
      <c r="P18" s="2262"/>
      <c r="Q18" s="2262"/>
      <c r="R18" s="2262"/>
      <c r="S18" s="2263"/>
      <c r="T18" s="562"/>
      <c r="U18" s="1006">
        <v>2</v>
      </c>
      <c r="V18" s="930">
        <v>95593</v>
      </c>
      <c r="W18" s="930">
        <v>101107</v>
      </c>
      <c r="X18" s="930">
        <v>115746</v>
      </c>
      <c r="Y18" s="930">
        <v>154437</v>
      </c>
      <c r="Z18" s="930">
        <v>167122</v>
      </c>
      <c r="AA18" s="930">
        <v>174332</v>
      </c>
      <c r="AB18" s="379"/>
      <c r="AC18" s="379"/>
      <c r="AD18" s="930"/>
      <c r="AE18" s="930"/>
      <c r="AF18" s="930"/>
      <c r="AG18" s="930"/>
      <c r="AH18" s="930"/>
      <c r="AI18" s="930"/>
      <c r="AJ18" s="930"/>
      <c r="AK18" s="930"/>
      <c r="AL18" s="930"/>
      <c r="AM18" s="930"/>
      <c r="AN18" s="930"/>
      <c r="AO18" s="930"/>
      <c r="AP18" s="930"/>
      <c r="AQ18" s="930"/>
      <c r="AR18" s="930"/>
      <c r="AS18" s="930"/>
      <c r="AT18" s="930"/>
      <c r="AU18" s="930"/>
      <c r="AV18" s="930"/>
      <c r="AW18" s="930"/>
      <c r="AX18" s="930"/>
      <c r="AY18" s="930"/>
      <c r="AZ18" s="930"/>
      <c r="BA18" s="930"/>
      <c r="BB18" s="930"/>
      <c r="BC18" s="930"/>
      <c r="BD18" s="930"/>
    </row>
    <row r="19" spans="1:56" s="278" customFormat="1" ht="30" customHeight="1" x14ac:dyDescent="0.2">
      <c r="A19" s="1981"/>
      <c r="B19" s="1981"/>
      <c r="C19" s="306"/>
      <c r="D19" s="2090"/>
      <c r="E19" s="981">
        <v>2.5</v>
      </c>
      <c r="F19" s="982">
        <f t="shared" si="10"/>
        <v>103083</v>
      </c>
      <c r="G19" s="982">
        <f t="shared" si="11"/>
        <v>105707</v>
      </c>
      <c r="H19" s="983" t="str">
        <f t="shared" si="12"/>
        <v>-</v>
      </c>
      <c r="I19" s="983" t="str">
        <f t="shared" si="13"/>
        <v>-</v>
      </c>
      <c r="J19" s="983" t="str">
        <f t="shared" si="14"/>
        <v>-</v>
      </c>
      <c r="K19" s="987" t="str">
        <f t="shared" si="15"/>
        <v>-</v>
      </c>
      <c r="L19" s="2264"/>
      <c r="M19" s="2265"/>
      <c r="N19" s="2265"/>
      <c r="O19" s="2265"/>
      <c r="P19" s="2265"/>
      <c r="Q19" s="2265"/>
      <c r="R19" s="2265"/>
      <c r="S19" s="2266"/>
      <c r="T19" s="562"/>
      <c r="U19" s="1006">
        <v>2.5</v>
      </c>
      <c r="V19" s="930">
        <v>103083</v>
      </c>
      <c r="W19" s="930">
        <v>105707</v>
      </c>
      <c r="X19" s="931"/>
      <c r="Y19" s="931"/>
      <c r="Z19" s="931"/>
      <c r="AA19" s="931"/>
      <c r="AB19" s="379"/>
      <c r="AC19" s="379"/>
      <c r="AD19" s="930"/>
      <c r="AE19" s="930"/>
      <c r="AF19" s="930"/>
      <c r="AG19" s="930"/>
      <c r="AH19" s="930"/>
      <c r="AI19" s="930"/>
      <c r="AJ19" s="930"/>
      <c r="AK19" s="930"/>
      <c r="AL19" s="930"/>
      <c r="AM19" s="930"/>
      <c r="AN19" s="930"/>
      <c r="AO19" s="930"/>
      <c r="AP19" s="930"/>
      <c r="AQ19" s="930"/>
      <c r="AR19" s="930"/>
      <c r="AS19" s="930"/>
      <c r="AT19" s="930"/>
      <c r="AU19" s="930"/>
      <c r="AV19" s="930"/>
      <c r="AW19" s="930"/>
      <c r="AX19" s="930"/>
      <c r="AY19" s="930"/>
      <c r="AZ19" s="930"/>
      <c r="BA19" s="930"/>
      <c r="BB19" s="930"/>
      <c r="BC19" s="930"/>
      <c r="BD19" s="930"/>
    </row>
    <row r="20" spans="1:56" s="278" customFormat="1" ht="15" customHeight="1" x14ac:dyDescent="0.2">
      <c r="A20" s="950"/>
      <c r="B20" s="950"/>
      <c r="C20" s="951"/>
      <c r="D20" s="952"/>
      <c r="E20" s="953"/>
      <c r="F20" s="954"/>
      <c r="G20" s="954"/>
      <c r="H20" s="955"/>
      <c r="I20" s="955"/>
      <c r="J20" s="955"/>
      <c r="K20" s="955"/>
      <c r="L20" s="956"/>
      <c r="M20" s="956"/>
      <c r="N20" s="956"/>
      <c r="O20" s="956"/>
      <c r="P20" s="956"/>
      <c r="Q20" s="956"/>
      <c r="R20" s="956"/>
      <c r="S20" s="956"/>
      <c r="T20" s="562"/>
      <c r="U20" s="1006"/>
      <c r="V20" s="930"/>
      <c r="W20" s="930"/>
      <c r="X20" s="931"/>
      <c r="Y20" s="931"/>
      <c r="Z20" s="931"/>
      <c r="AA20" s="931"/>
      <c r="AB20" s="928"/>
      <c r="AC20" s="928"/>
      <c r="AD20" s="930"/>
      <c r="AE20" s="930"/>
      <c r="AF20" s="930"/>
      <c r="AG20" s="930"/>
      <c r="AH20" s="930"/>
      <c r="AI20" s="930"/>
      <c r="AJ20" s="930"/>
      <c r="AK20" s="930"/>
      <c r="AL20" s="930"/>
      <c r="AM20" s="930"/>
      <c r="AN20" s="930"/>
      <c r="AO20" s="930"/>
      <c r="AP20" s="930"/>
      <c r="AQ20" s="930"/>
      <c r="AR20" s="930"/>
      <c r="AS20" s="930"/>
      <c r="AT20" s="930"/>
      <c r="AU20" s="930"/>
      <c r="AV20" s="930"/>
      <c r="AW20" s="930"/>
      <c r="AX20" s="930"/>
      <c r="AY20" s="930"/>
      <c r="AZ20" s="930"/>
      <c r="BA20" s="930"/>
      <c r="BB20" s="930"/>
      <c r="BC20" s="930"/>
      <c r="BD20" s="930"/>
    </row>
    <row r="21" spans="1:56" s="278" customFormat="1" ht="15" customHeight="1" x14ac:dyDescent="0.2">
      <c r="A21" s="18"/>
      <c r="B21" s="16"/>
      <c r="C21" s="16"/>
      <c r="D21" s="17"/>
      <c r="E21" s="910"/>
      <c r="F21" s="922"/>
      <c r="G21" s="910"/>
      <c r="H21" s="910"/>
      <c r="I21" s="910"/>
      <c r="J21" s="306"/>
      <c r="K21" s="306"/>
      <c r="L21" s="16"/>
      <c r="M21" s="16"/>
      <c r="N21" s="16"/>
      <c r="O21" s="16"/>
      <c r="P21" s="16"/>
      <c r="Q21" s="911"/>
      <c r="R21" s="379"/>
      <c r="S21" s="379"/>
      <c r="T21" s="562"/>
      <c r="U21" s="1007"/>
      <c r="V21" s="922"/>
      <c r="W21" s="910"/>
      <c r="X21" s="910"/>
      <c r="Y21" s="910"/>
      <c r="Z21" s="306"/>
      <c r="AA21" s="306"/>
      <c r="AB21" s="16"/>
      <c r="AC21" s="16"/>
      <c r="AD21" s="930"/>
      <c r="AE21" s="930"/>
      <c r="AF21" s="930"/>
      <c r="AG21" s="930"/>
      <c r="AH21" s="930"/>
      <c r="AI21" s="930"/>
      <c r="AJ21" s="930"/>
      <c r="AK21" s="930"/>
      <c r="AL21" s="930"/>
      <c r="AM21" s="930"/>
      <c r="AN21" s="930"/>
      <c r="AO21" s="930"/>
      <c r="AP21" s="930"/>
      <c r="AQ21" s="930"/>
      <c r="AR21" s="930"/>
      <c r="AS21" s="930"/>
      <c r="AT21" s="930"/>
      <c r="AU21" s="930"/>
      <c r="AV21" s="930"/>
      <c r="AW21" s="930"/>
      <c r="AX21" s="930"/>
      <c r="AY21" s="930"/>
      <c r="AZ21" s="930"/>
      <c r="BA21" s="930"/>
      <c r="BB21" s="930"/>
      <c r="BC21" s="930"/>
      <c r="BD21" s="930"/>
    </row>
    <row r="22" spans="1:56" s="278" customFormat="1" ht="30" customHeight="1" x14ac:dyDescent="0.2">
      <c r="A22" s="1430" t="s">
        <v>790</v>
      </c>
      <c r="B22" s="1430"/>
      <c r="C22" s="926"/>
      <c r="D22" s="2270" t="s">
        <v>71</v>
      </c>
      <c r="E22" s="2284" t="s">
        <v>784</v>
      </c>
      <c r="F22" s="939" t="s">
        <v>785</v>
      </c>
      <c r="G22" s="923"/>
      <c r="I22" s="2270" t="s">
        <v>71</v>
      </c>
      <c r="J22" s="2270"/>
      <c r="K22" s="2270" t="s">
        <v>784</v>
      </c>
      <c r="L22" s="2282" t="s">
        <v>785</v>
      </c>
      <c r="M22" s="2297"/>
      <c r="N22" s="379"/>
      <c r="O22" s="2246" t="s">
        <v>793</v>
      </c>
      <c r="P22" s="2247"/>
      <c r="Q22" s="2247"/>
      <c r="R22" s="2247"/>
      <c r="S22" s="2248"/>
      <c r="U22" s="1004"/>
      <c r="V22" s="1000"/>
      <c r="W22" s="923"/>
      <c r="Y22" s="1001"/>
      <c r="Z22" s="1001"/>
      <c r="AA22" s="1001"/>
      <c r="AB22" s="948"/>
      <c r="AC22" s="948"/>
      <c r="AD22" s="930"/>
      <c r="AE22" s="930"/>
      <c r="AF22" s="930"/>
      <c r="AG22" s="930"/>
      <c r="AH22" s="930"/>
      <c r="AI22" s="930"/>
      <c r="AJ22" s="930"/>
      <c r="AK22" s="930"/>
      <c r="AL22" s="930"/>
      <c r="AM22" s="930"/>
      <c r="AN22" s="930"/>
      <c r="AO22" s="930"/>
      <c r="AP22" s="930"/>
      <c r="AQ22" s="930"/>
      <c r="AR22" s="930"/>
      <c r="AS22" s="930"/>
      <c r="AT22" s="930"/>
      <c r="AU22" s="930"/>
      <c r="AV22" s="930"/>
      <c r="AW22" s="930"/>
      <c r="AX22" s="930"/>
      <c r="AY22" s="930"/>
      <c r="AZ22" s="930"/>
      <c r="BA22" s="930"/>
      <c r="BB22" s="930"/>
      <c r="BC22" s="930"/>
      <c r="BD22" s="930"/>
    </row>
    <row r="23" spans="1:56" s="278" customFormat="1" ht="30" customHeight="1" x14ac:dyDescent="0.2">
      <c r="A23" s="1430"/>
      <c r="B23" s="1430"/>
      <c r="C23" s="926"/>
      <c r="D23" s="2270"/>
      <c r="E23" s="2285"/>
      <c r="F23" s="940">
        <v>1</v>
      </c>
      <c r="G23" s="918"/>
      <c r="I23" s="2270"/>
      <c r="J23" s="2270"/>
      <c r="K23" s="2270"/>
      <c r="L23" s="940">
        <v>3.6</v>
      </c>
      <c r="M23" s="940">
        <v>4</v>
      </c>
      <c r="N23" s="379"/>
      <c r="O23" s="2249" t="s">
        <v>798</v>
      </c>
      <c r="P23" s="2250"/>
      <c r="Q23" s="2250"/>
      <c r="R23" s="2250"/>
      <c r="S23" s="2251"/>
      <c r="U23" s="1004"/>
      <c r="V23" s="1010">
        <v>1</v>
      </c>
      <c r="W23" s="1015"/>
      <c r="X23" s="1016"/>
      <c r="Y23" s="1004"/>
      <c r="Z23" s="1004"/>
      <c r="AA23" s="1004"/>
      <c r="AB23" s="1010">
        <v>3.6</v>
      </c>
      <c r="AC23" s="1010">
        <v>4</v>
      </c>
      <c r="AD23" s="930"/>
      <c r="AE23" s="930"/>
      <c r="AF23" s="930"/>
      <c r="AG23" s="930"/>
      <c r="AH23" s="930"/>
      <c r="AI23" s="930"/>
      <c r="AJ23" s="930"/>
      <c r="AK23" s="930"/>
      <c r="AL23" s="930"/>
      <c r="AM23" s="930"/>
      <c r="AN23" s="930"/>
      <c r="AO23" s="930"/>
      <c r="AP23" s="930"/>
      <c r="AQ23" s="930"/>
      <c r="AR23" s="930"/>
      <c r="AS23" s="930"/>
      <c r="AT23" s="930"/>
      <c r="AU23" s="930"/>
      <c r="AV23" s="930"/>
      <c r="AW23" s="930"/>
      <c r="AX23" s="930"/>
      <c r="AY23" s="930"/>
      <c r="AZ23" s="930"/>
      <c r="BA23" s="930"/>
      <c r="BB23" s="930"/>
      <c r="BC23" s="930"/>
      <c r="BD23" s="930"/>
    </row>
    <row r="24" spans="1:56" s="278" customFormat="1" ht="30" customHeight="1" x14ac:dyDescent="0.2">
      <c r="A24" s="1430"/>
      <c r="B24" s="1430"/>
      <c r="C24" s="279"/>
      <c r="D24" s="2271" t="s">
        <v>786</v>
      </c>
      <c r="E24" s="972">
        <v>1.5</v>
      </c>
      <c r="F24" s="978">
        <f t="shared" ref="F24:F26" si="16">IF(V24&gt;0,(ROUND(V24*BelarusV*(1-$D$56),0)),"-")</f>
        <v>36276</v>
      </c>
      <c r="G24" s="299"/>
      <c r="I24" s="2271" t="s">
        <v>789</v>
      </c>
      <c r="J24" s="2271"/>
      <c r="K24" s="972">
        <v>1.5</v>
      </c>
      <c r="L24" s="978">
        <f t="shared" ref="L24:L26" si="17">IF(AB24&gt;0,(ROUND(AB24*BelarusV*(1-$D$56),0)),"-")</f>
        <v>63804</v>
      </c>
      <c r="M24" s="978" t="str">
        <f t="shared" ref="M24:M26" si="18">IF(AC24&gt;0,(ROUND(AC24*BelarusV*(1-$D$56),0)),"-")</f>
        <v>-</v>
      </c>
      <c r="N24" s="379"/>
      <c r="O24" s="2252"/>
      <c r="P24" s="2253"/>
      <c r="Q24" s="2253"/>
      <c r="R24" s="2253"/>
      <c r="S24" s="2254"/>
      <c r="U24" s="1008">
        <v>1.5</v>
      </c>
      <c r="V24" s="930">
        <v>36276</v>
      </c>
      <c r="W24" s="299"/>
      <c r="Y24" s="288"/>
      <c r="Z24" s="288"/>
      <c r="AA24" s="1008">
        <v>1.5</v>
      </c>
      <c r="AB24" s="930">
        <v>63804</v>
      </c>
      <c r="AC24" s="930"/>
      <c r="AD24" s="930"/>
      <c r="AE24" s="930"/>
      <c r="AF24" s="930"/>
      <c r="AG24" s="930"/>
      <c r="AH24" s="930"/>
      <c r="AI24" s="930"/>
      <c r="AJ24" s="930"/>
      <c r="AK24" s="930"/>
      <c r="AL24" s="930"/>
      <c r="AM24" s="930"/>
      <c r="AN24" s="930"/>
      <c r="AO24" s="930"/>
      <c r="AP24" s="930"/>
      <c r="AQ24" s="930"/>
      <c r="AR24" s="930"/>
      <c r="AS24" s="930"/>
      <c r="AT24" s="930"/>
      <c r="AU24" s="930"/>
      <c r="AV24" s="930"/>
      <c r="AW24" s="930"/>
      <c r="AX24" s="930"/>
      <c r="AY24" s="930"/>
      <c r="AZ24" s="930"/>
      <c r="BA24" s="930"/>
      <c r="BB24" s="930"/>
      <c r="BC24" s="930"/>
      <c r="BD24" s="930"/>
    </row>
    <row r="25" spans="1:56" s="278" customFormat="1" ht="30" customHeight="1" x14ac:dyDescent="0.2">
      <c r="A25" s="1430"/>
      <c r="B25" s="1430"/>
      <c r="C25" s="279"/>
      <c r="D25" s="2271"/>
      <c r="E25" s="973">
        <v>1.8</v>
      </c>
      <c r="F25" s="980">
        <f t="shared" si="16"/>
        <v>39085</v>
      </c>
      <c r="G25" s="299"/>
      <c r="H25" s="18"/>
      <c r="I25" s="2271"/>
      <c r="J25" s="2271"/>
      <c r="K25" s="973">
        <v>1.8</v>
      </c>
      <c r="L25" s="980">
        <f t="shared" si="17"/>
        <v>65735</v>
      </c>
      <c r="M25" s="980">
        <f t="shared" si="18"/>
        <v>85983</v>
      </c>
      <c r="N25" s="379"/>
      <c r="O25" s="2252"/>
      <c r="P25" s="2253"/>
      <c r="Q25" s="2253"/>
      <c r="R25" s="2253"/>
      <c r="S25" s="2254"/>
      <c r="U25" s="1008">
        <v>1.8</v>
      </c>
      <c r="V25" s="930">
        <v>39085</v>
      </c>
      <c r="W25" s="299"/>
      <c r="X25" s="18"/>
      <c r="Y25" s="288"/>
      <c r="Z25" s="288"/>
      <c r="AA25" s="1008">
        <v>1.8</v>
      </c>
      <c r="AB25" s="930">
        <v>65735</v>
      </c>
      <c r="AC25" s="930">
        <v>85983</v>
      </c>
      <c r="AD25" s="930"/>
      <c r="AE25" s="930"/>
      <c r="AF25" s="930"/>
      <c r="AG25" s="930"/>
      <c r="AH25" s="930"/>
      <c r="AI25" s="930"/>
      <c r="AJ25" s="930"/>
      <c r="AK25" s="930"/>
      <c r="AL25" s="930"/>
      <c r="AM25" s="930"/>
      <c r="AN25" s="930"/>
      <c r="AO25" s="930"/>
      <c r="AP25" s="930"/>
      <c r="AQ25" s="930"/>
      <c r="AR25" s="930"/>
      <c r="AS25" s="930"/>
      <c r="AT25" s="930"/>
      <c r="AU25" s="930"/>
      <c r="AV25" s="930"/>
      <c r="AW25" s="930"/>
      <c r="AX25" s="930"/>
      <c r="AY25" s="930"/>
      <c r="AZ25" s="930"/>
      <c r="BA25" s="930"/>
      <c r="BB25" s="930"/>
      <c r="BC25" s="930"/>
      <c r="BD25" s="930"/>
    </row>
    <row r="26" spans="1:56" s="278" customFormat="1" ht="30" customHeight="1" x14ac:dyDescent="0.2">
      <c r="A26" s="2295"/>
      <c r="B26" s="2295"/>
      <c r="C26" s="279"/>
      <c r="D26" s="2271"/>
      <c r="E26" s="974">
        <v>2</v>
      </c>
      <c r="F26" s="982">
        <f t="shared" si="16"/>
        <v>40796</v>
      </c>
      <c r="G26" s="299"/>
      <c r="H26" s="912"/>
      <c r="I26" s="2271"/>
      <c r="J26" s="2271"/>
      <c r="K26" s="974">
        <v>2</v>
      </c>
      <c r="L26" s="982">
        <f t="shared" si="17"/>
        <v>77080</v>
      </c>
      <c r="M26" s="982">
        <f t="shared" si="18"/>
        <v>96976</v>
      </c>
      <c r="N26" s="379"/>
      <c r="O26" s="2255"/>
      <c r="P26" s="2256"/>
      <c r="Q26" s="2256"/>
      <c r="R26" s="2256"/>
      <c r="S26" s="2257"/>
      <c r="U26" s="1008">
        <v>2</v>
      </c>
      <c r="V26" s="930">
        <v>40796</v>
      </c>
      <c r="W26" s="299"/>
      <c r="X26" s="912"/>
      <c r="Y26" s="288"/>
      <c r="Z26" s="288"/>
      <c r="AA26" s="1008">
        <v>2</v>
      </c>
      <c r="AB26" s="930">
        <v>77080</v>
      </c>
      <c r="AC26" s="930">
        <v>96976</v>
      </c>
      <c r="AD26" s="930"/>
      <c r="AE26" s="930"/>
      <c r="AF26" s="930"/>
      <c r="AG26" s="930"/>
      <c r="AH26" s="930"/>
      <c r="AI26" s="930"/>
      <c r="AJ26" s="930"/>
      <c r="AK26" s="930"/>
      <c r="AL26" s="930"/>
      <c r="AM26" s="930"/>
      <c r="AN26" s="930"/>
      <c r="AO26" s="930"/>
      <c r="AP26" s="930"/>
      <c r="AQ26" s="930"/>
      <c r="AR26" s="930"/>
      <c r="AS26" s="930"/>
      <c r="AT26" s="930"/>
      <c r="AU26" s="930"/>
      <c r="AV26" s="930"/>
      <c r="AW26" s="930"/>
      <c r="AX26" s="930"/>
      <c r="AY26" s="930"/>
      <c r="AZ26" s="930"/>
      <c r="BA26" s="930"/>
      <c r="BB26" s="930"/>
      <c r="BC26" s="930"/>
      <c r="BD26" s="930"/>
    </row>
    <row r="27" spans="1:56" s="278" customFormat="1" ht="9.9499999999999993" customHeight="1" x14ac:dyDescent="0.2">
      <c r="A27" s="2295"/>
      <c r="B27" s="2295"/>
      <c r="C27" s="18"/>
      <c r="D27" s="399"/>
      <c r="E27" s="399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71"/>
      <c r="Q27" s="471"/>
      <c r="R27" s="471"/>
      <c r="S27" s="471"/>
      <c r="T27" s="584"/>
      <c r="U27" s="1009"/>
      <c r="V27" s="413"/>
      <c r="W27" s="413"/>
      <c r="X27" s="413"/>
      <c r="Y27" s="413"/>
      <c r="Z27" s="413"/>
      <c r="AA27" s="413"/>
      <c r="AB27" s="413"/>
      <c r="AC27" s="413"/>
      <c r="AD27" s="930"/>
      <c r="AE27" s="930"/>
      <c r="AF27" s="930"/>
      <c r="AG27" s="930"/>
      <c r="AH27" s="930"/>
      <c r="AI27" s="930"/>
      <c r="AJ27" s="930"/>
      <c r="AK27" s="930"/>
      <c r="AL27" s="930"/>
      <c r="AM27" s="930"/>
      <c r="AN27" s="930"/>
      <c r="AO27" s="930"/>
      <c r="AP27" s="930"/>
      <c r="AQ27" s="930"/>
      <c r="AR27" s="930"/>
      <c r="AS27" s="930"/>
      <c r="AT27" s="930"/>
      <c r="AU27" s="930"/>
      <c r="AV27" s="930"/>
      <c r="AW27" s="930"/>
      <c r="AX27" s="930"/>
      <c r="AY27" s="930"/>
      <c r="AZ27" s="930"/>
      <c r="BA27" s="930"/>
      <c r="BB27" s="930"/>
      <c r="BC27" s="930"/>
      <c r="BD27" s="930"/>
    </row>
    <row r="28" spans="1:56" s="278" customFormat="1" ht="30" customHeight="1" x14ac:dyDescent="0.2">
      <c r="A28" s="2295"/>
      <c r="B28" s="2295"/>
      <c r="C28" s="926"/>
      <c r="D28" s="2270" t="s">
        <v>71</v>
      </c>
      <c r="E28" s="2270" t="s">
        <v>784</v>
      </c>
      <c r="F28" s="2281" t="s">
        <v>785</v>
      </c>
      <c r="G28" s="2281"/>
      <c r="H28" s="2281"/>
      <c r="I28" s="2281"/>
      <c r="J28" s="2281"/>
      <c r="K28" s="2281"/>
      <c r="N28" s="944"/>
      <c r="O28" s="2244" t="s">
        <v>794</v>
      </c>
      <c r="P28" s="2245"/>
      <c r="Q28" s="2245"/>
      <c r="R28" s="2245"/>
      <c r="S28" s="2245"/>
      <c r="T28" s="917"/>
      <c r="U28" s="1004"/>
      <c r="V28" s="948"/>
      <c r="W28" s="948"/>
      <c r="X28" s="948"/>
      <c r="Y28" s="948"/>
      <c r="Z28" s="948"/>
      <c r="AA28" s="948"/>
      <c r="AD28" s="930"/>
      <c r="AE28" s="930"/>
      <c r="AF28" s="930"/>
      <c r="AG28" s="930"/>
      <c r="AH28" s="930"/>
      <c r="AI28" s="930"/>
      <c r="AJ28" s="930"/>
      <c r="AK28" s="930"/>
      <c r="AL28" s="930"/>
      <c r="AM28" s="930"/>
      <c r="AN28" s="930"/>
      <c r="AO28" s="930"/>
      <c r="AP28" s="930"/>
      <c r="AQ28" s="930"/>
      <c r="AR28" s="930"/>
      <c r="AS28" s="930"/>
      <c r="AT28" s="930"/>
      <c r="AU28" s="930"/>
      <c r="AV28" s="930"/>
      <c r="AW28" s="930"/>
      <c r="AX28" s="930"/>
      <c r="AY28" s="930"/>
      <c r="AZ28" s="930"/>
      <c r="BA28" s="930"/>
      <c r="BB28" s="930"/>
      <c r="BC28" s="930"/>
      <c r="BD28" s="930"/>
    </row>
    <row r="29" spans="1:56" s="278" customFormat="1" ht="30" customHeight="1" x14ac:dyDescent="0.2">
      <c r="A29" s="2295"/>
      <c r="B29" s="2295"/>
      <c r="C29" s="926"/>
      <c r="D29" s="2270"/>
      <c r="E29" s="2270"/>
      <c r="F29" s="940">
        <v>3.5</v>
      </c>
      <c r="G29" s="940">
        <v>4</v>
      </c>
      <c r="H29" s="940">
        <v>4.5</v>
      </c>
      <c r="I29" s="940">
        <v>5</v>
      </c>
      <c r="J29" s="940">
        <v>5.5</v>
      </c>
      <c r="K29" s="940">
        <v>6</v>
      </c>
      <c r="L29" s="379"/>
      <c r="M29" s="379"/>
      <c r="N29" s="379"/>
      <c r="O29" s="2258" t="s">
        <v>797</v>
      </c>
      <c r="P29" s="2259"/>
      <c r="Q29" s="2259"/>
      <c r="R29" s="2259"/>
      <c r="S29" s="2260"/>
      <c r="T29" s="279"/>
      <c r="U29" s="1004"/>
      <c r="V29" s="1010">
        <v>3.5</v>
      </c>
      <c r="W29" s="1010">
        <v>4</v>
      </c>
      <c r="X29" s="1010">
        <v>4.5</v>
      </c>
      <c r="Y29" s="1010">
        <v>5</v>
      </c>
      <c r="Z29" s="1010">
        <v>5.5</v>
      </c>
      <c r="AA29" s="1010">
        <v>6</v>
      </c>
      <c r="AB29" s="379"/>
      <c r="AC29" s="379"/>
      <c r="AD29" s="930"/>
      <c r="AE29" s="930"/>
      <c r="AF29" s="930"/>
      <c r="AG29" s="930"/>
      <c r="AH29" s="930"/>
      <c r="AI29" s="930"/>
      <c r="AJ29" s="930"/>
      <c r="AK29" s="930"/>
      <c r="AL29" s="930"/>
      <c r="AM29" s="930"/>
      <c r="AN29" s="930"/>
      <c r="AO29" s="930"/>
      <c r="AP29" s="930"/>
      <c r="AQ29" s="930"/>
      <c r="AR29" s="930"/>
      <c r="AS29" s="930"/>
      <c r="AT29" s="930"/>
      <c r="AU29" s="930"/>
      <c r="AV29" s="930"/>
      <c r="AW29" s="930"/>
      <c r="AX29" s="930"/>
      <c r="AY29" s="930"/>
      <c r="AZ29" s="930"/>
      <c r="BA29" s="930"/>
      <c r="BB29" s="930"/>
      <c r="BC29" s="930"/>
      <c r="BD29" s="930"/>
    </row>
    <row r="30" spans="1:56" s="278" customFormat="1" ht="30" customHeight="1" x14ac:dyDescent="0.2">
      <c r="A30" s="2295"/>
      <c r="B30" s="2295"/>
      <c r="C30" s="306"/>
      <c r="D30" s="2090" t="s">
        <v>787</v>
      </c>
      <c r="E30" s="988">
        <v>1.5</v>
      </c>
      <c r="F30" s="978">
        <f t="shared" ref="F30:F33" si="19">IF(V30&gt;0,(ROUND(V30*BelarusV*(1-$D$56),0)),"-")</f>
        <v>100621</v>
      </c>
      <c r="G30" s="978">
        <f t="shared" ref="G30:G33" si="20">IF(W30&gt;0,(ROUND(W30*BelarusV*(1-$D$56),0)),"-")</f>
        <v>106071</v>
      </c>
      <c r="H30" s="978">
        <f t="shared" ref="H30:H33" si="21">IF(X30&gt;0,(ROUND(X30*BelarusV*(1-$D$56),0)),"-")</f>
        <v>119636</v>
      </c>
      <c r="I30" s="984" t="str">
        <f t="shared" ref="I30:I33" si="22">IF(Y30&gt;0,(ROUND(Y30*BelarusV*(1-$D$56),0)),"-")</f>
        <v>-</v>
      </c>
      <c r="J30" s="984" t="str">
        <f t="shared" ref="J30:J33" si="23">IF(Z30&gt;0,(ROUND(Z30*BelarusV*(1-$D$56),0)),"-")</f>
        <v>-</v>
      </c>
      <c r="K30" s="984" t="str">
        <f t="shared" ref="K30:K33" si="24">IF(AA30&gt;0,(ROUND(AA30*BelarusV*(1-$D$56),0)),"-")</f>
        <v>-</v>
      </c>
      <c r="L30" s="379"/>
      <c r="M30" s="379"/>
      <c r="N30" s="379"/>
      <c r="O30" s="2261"/>
      <c r="P30" s="2262"/>
      <c r="Q30" s="2262"/>
      <c r="R30" s="2262"/>
      <c r="S30" s="2263"/>
      <c r="T30" s="279"/>
      <c r="U30" s="1010">
        <v>1.5</v>
      </c>
      <c r="V30" s="930">
        <v>100621</v>
      </c>
      <c r="W30" s="930">
        <v>106071</v>
      </c>
      <c r="X30" s="930">
        <v>119636</v>
      </c>
      <c r="Y30" s="931"/>
      <c r="Z30" s="931"/>
      <c r="AA30" s="931"/>
      <c r="AB30" s="379"/>
      <c r="AC30" s="379"/>
      <c r="AD30" s="930"/>
      <c r="AE30" s="930"/>
      <c r="AF30" s="930"/>
      <c r="AG30" s="930"/>
      <c r="AH30" s="930"/>
      <c r="AI30" s="930"/>
      <c r="AJ30" s="930"/>
      <c r="AK30" s="930"/>
      <c r="AL30" s="930"/>
      <c r="AM30" s="930"/>
      <c r="AN30" s="930"/>
      <c r="AO30" s="930"/>
      <c r="AP30" s="930"/>
      <c r="AQ30" s="930"/>
      <c r="AR30" s="930"/>
      <c r="AS30" s="930"/>
      <c r="AT30" s="930"/>
      <c r="AU30" s="930"/>
      <c r="AV30" s="930"/>
      <c r="AW30" s="930"/>
      <c r="AX30" s="930"/>
      <c r="AY30" s="930"/>
      <c r="AZ30" s="930"/>
      <c r="BA30" s="930"/>
      <c r="BB30" s="930"/>
      <c r="BC30" s="930"/>
      <c r="BD30" s="930"/>
    </row>
    <row r="31" spans="1:56" s="278" customFormat="1" ht="30" customHeight="1" x14ac:dyDescent="0.2">
      <c r="A31" s="2295"/>
      <c r="B31" s="2295"/>
      <c r="C31" s="306"/>
      <c r="D31" s="2090"/>
      <c r="E31" s="989">
        <v>1.8</v>
      </c>
      <c r="F31" s="980">
        <f t="shared" si="19"/>
        <v>103733</v>
      </c>
      <c r="G31" s="980">
        <f t="shared" si="20"/>
        <v>109354</v>
      </c>
      <c r="H31" s="980">
        <f t="shared" si="21"/>
        <v>123337</v>
      </c>
      <c r="I31" s="990" t="str">
        <f t="shared" si="22"/>
        <v>-</v>
      </c>
      <c r="J31" s="990" t="str">
        <f t="shared" si="23"/>
        <v>-</v>
      </c>
      <c r="K31" s="990" t="str">
        <f t="shared" si="24"/>
        <v>-</v>
      </c>
      <c r="L31" s="379"/>
      <c r="M31" s="379"/>
      <c r="N31" s="379"/>
      <c r="O31" s="2261"/>
      <c r="P31" s="2262"/>
      <c r="Q31" s="2262"/>
      <c r="R31" s="2262"/>
      <c r="S31" s="2263"/>
      <c r="T31" s="279"/>
      <c r="U31" s="1010">
        <v>1.8</v>
      </c>
      <c r="V31" s="930">
        <v>103733</v>
      </c>
      <c r="W31" s="930">
        <v>109354</v>
      </c>
      <c r="X31" s="930">
        <v>123337</v>
      </c>
      <c r="Y31" s="931"/>
      <c r="Z31" s="931"/>
      <c r="AA31" s="931"/>
      <c r="AB31" s="379"/>
      <c r="AC31" s="379"/>
      <c r="AD31" s="930"/>
      <c r="AE31" s="930"/>
      <c r="AF31" s="930"/>
      <c r="AG31" s="930"/>
      <c r="AH31" s="930"/>
      <c r="AI31" s="930"/>
      <c r="AJ31" s="930"/>
      <c r="AK31" s="930"/>
      <c r="AL31" s="930"/>
      <c r="AM31" s="930"/>
      <c r="AN31" s="930"/>
      <c r="AO31" s="930"/>
      <c r="AP31" s="930"/>
      <c r="AQ31" s="930"/>
      <c r="AR31" s="930"/>
      <c r="AS31" s="930"/>
      <c r="AT31" s="930"/>
      <c r="AU31" s="930"/>
      <c r="AV31" s="930"/>
      <c r="AW31" s="930"/>
      <c r="AX31" s="930"/>
      <c r="AY31" s="930"/>
      <c r="AZ31" s="930"/>
      <c r="BA31" s="930"/>
      <c r="BB31" s="930"/>
      <c r="BC31" s="930"/>
      <c r="BD31" s="930"/>
    </row>
    <row r="32" spans="1:56" s="278" customFormat="1" ht="30" customHeight="1" x14ac:dyDescent="0.2">
      <c r="A32" s="2295"/>
      <c r="B32" s="2295"/>
      <c r="C32" s="306"/>
      <c r="D32" s="2090"/>
      <c r="E32" s="989">
        <v>2</v>
      </c>
      <c r="F32" s="980">
        <f t="shared" si="19"/>
        <v>111504</v>
      </c>
      <c r="G32" s="980">
        <f t="shared" si="20"/>
        <v>117016</v>
      </c>
      <c r="H32" s="980">
        <f t="shared" si="21"/>
        <v>131655</v>
      </c>
      <c r="I32" s="980">
        <f t="shared" si="22"/>
        <v>179967</v>
      </c>
      <c r="J32" s="980">
        <f t="shared" si="23"/>
        <v>200542</v>
      </c>
      <c r="K32" s="980">
        <f t="shared" si="24"/>
        <v>207761</v>
      </c>
      <c r="L32" s="379"/>
      <c r="M32" s="379"/>
      <c r="N32" s="379"/>
      <c r="O32" s="2261"/>
      <c r="P32" s="2262"/>
      <c r="Q32" s="2262"/>
      <c r="R32" s="2262"/>
      <c r="S32" s="2263"/>
      <c r="T32" s="279"/>
      <c r="U32" s="1010">
        <v>2</v>
      </c>
      <c r="V32" s="930">
        <v>111504</v>
      </c>
      <c r="W32" s="930">
        <v>117016</v>
      </c>
      <c r="X32" s="930">
        <v>131655</v>
      </c>
      <c r="Y32" s="930">
        <v>179967</v>
      </c>
      <c r="Z32" s="930">
        <v>200542</v>
      </c>
      <c r="AA32" s="930">
        <v>207761</v>
      </c>
      <c r="AB32" s="379"/>
      <c r="AC32" s="379"/>
      <c r="AD32" s="930"/>
      <c r="AE32" s="930"/>
      <c r="AF32" s="930"/>
      <c r="AG32" s="930"/>
      <c r="AH32" s="930"/>
      <c r="AI32" s="930"/>
      <c r="AJ32" s="930"/>
      <c r="AK32" s="930"/>
      <c r="AL32" s="930"/>
      <c r="AM32" s="930"/>
      <c r="AN32" s="930"/>
      <c r="AO32" s="930"/>
      <c r="AP32" s="930"/>
      <c r="AQ32" s="930"/>
      <c r="AR32" s="930"/>
      <c r="AS32" s="930"/>
      <c r="AT32" s="930"/>
      <c r="AU32" s="930"/>
      <c r="AV32" s="930"/>
      <c r="AW32" s="930"/>
      <c r="AX32" s="930"/>
      <c r="AY32" s="930"/>
      <c r="AZ32" s="930"/>
      <c r="BA32" s="930"/>
      <c r="BB32" s="930"/>
      <c r="BC32" s="930"/>
      <c r="BD32" s="930"/>
    </row>
    <row r="33" spans="1:56" ht="30" customHeight="1" x14ac:dyDescent="0.2">
      <c r="A33" s="2295"/>
      <c r="B33" s="2295"/>
      <c r="D33" s="2090"/>
      <c r="E33" s="991">
        <v>2.5</v>
      </c>
      <c r="F33" s="982">
        <f t="shared" si="19"/>
        <v>133574</v>
      </c>
      <c r="G33" s="982">
        <f t="shared" si="20"/>
        <v>139560</v>
      </c>
      <c r="H33" s="983" t="str">
        <f t="shared" si="21"/>
        <v>-</v>
      </c>
      <c r="I33" s="983" t="str">
        <f t="shared" si="22"/>
        <v>-</v>
      </c>
      <c r="J33" s="983" t="str">
        <f t="shared" si="23"/>
        <v>-</v>
      </c>
      <c r="K33" s="983" t="str">
        <f t="shared" si="24"/>
        <v>-</v>
      </c>
      <c r="L33" s="379"/>
      <c r="M33" s="379"/>
      <c r="N33" s="379"/>
      <c r="O33" s="2264"/>
      <c r="P33" s="2265"/>
      <c r="Q33" s="2265"/>
      <c r="R33" s="2265"/>
      <c r="S33" s="2266"/>
      <c r="U33" s="1010">
        <v>2.5</v>
      </c>
      <c r="V33" s="930">
        <v>133574</v>
      </c>
      <c r="W33" s="930">
        <v>139560</v>
      </c>
      <c r="X33" s="931"/>
      <c r="Y33" s="931"/>
      <c r="Z33" s="931"/>
      <c r="AA33" s="931"/>
      <c r="AB33" s="379"/>
      <c r="AC33" s="379"/>
      <c r="AD33" s="930"/>
      <c r="AE33" s="930"/>
      <c r="AF33" s="930"/>
      <c r="AG33" s="930"/>
      <c r="AH33" s="930"/>
      <c r="AI33" s="930"/>
      <c r="AJ33" s="930"/>
      <c r="AK33" s="930"/>
      <c r="AL33" s="930"/>
      <c r="AM33" s="930"/>
      <c r="AN33" s="930"/>
      <c r="AO33" s="930"/>
      <c r="AP33" s="930"/>
      <c r="AQ33" s="930"/>
      <c r="AR33" s="930"/>
      <c r="AS33" s="930"/>
      <c r="AT33" s="930"/>
      <c r="AU33" s="930"/>
      <c r="AV33" s="930"/>
      <c r="AW33" s="930"/>
      <c r="AX33" s="930"/>
      <c r="AY33" s="930"/>
      <c r="AZ33" s="930"/>
      <c r="BA33" s="930"/>
      <c r="BB33" s="930"/>
      <c r="BC33" s="930"/>
      <c r="BD33" s="930"/>
    </row>
    <row r="34" spans="1:56" ht="9.9499999999999993" customHeight="1" x14ac:dyDescent="0.2">
      <c r="A34" s="2295"/>
      <c r="B34" s="2295"/>
      <c r="C34" s="399"/>
      <c r="D34" s="399"/>
      <c r="E34" s="399"/>
      <c r="F34" s="924"/>
      <c r="G34" s="924"/>
      <c r="H34" s="924"/>
      <c r="I34" s="431"/>
      <c r="J34" s="925"/>
      <c r="K34" s="925"/>
      <c r="S34" s="471"/>
      <c r="U34" s="1009"/>
      <c r="V34" s="924"/>
      <c r="W34" s="924"/>
      <c r="X34" s="924"/>
      <c r="Y34" s="431"/>
      <c r="Z34" s="925"/>
      <c r="AA34" s="925"/>
      <c r="AB34" s="306"/>
      <c r="AC34" s="306"/>
      <c r="AD34" s="930"/>
      <c r="AE34" s="930"/>
      <c r="AF34" s="930"/>
      <c r="AG34" s="930"/>
      <c r="AH34" s="930"/>
      <c r="AI34" s="930"/>
      <c r="AJ34" s="930"/>
      <c r="AK34" s="930"/>
      <c r="AL34" s="930"/>
      <c r="AM34" s="930"/>
      <c r="AN34" s="930"/>
      <c r="AO34" s="930"/>
      <c r="AP34" s="930"/>
      <c r="AQ34" s="930"/>
      <c r="AR34" s="930"/>
      <c r="AS34" s="930"/>
      <c r="AT34" s="930"/>
      <c r="AU34" s="930"/>
      <c r="AV34" s="930"/>
      <c r="AW34" s="930"/>
      <c r="AX34" s="930"/>
      <c r="AY34" s="930"/>
      <c r="AZ34" s="930"/>
      <c r="BA34" s="930"/>
      <c r="BB34" s="930"/>
      <c r="BC34" s="930"/>
      <c r="BD34" s="930"/>
    </row>
    <row r="35" spans="1:56" ht="30" customHeight="1" x14ac:dyDescent="0.2">
      <c r="A35" s="2295"/>
      <c r="B35" s="2295"/>
      <c r="C35" s="926"/>
      <c r="D35" s="2270" t="s">
        <v>71</v>
      </c>
      <c r="E35" s="2270" t="s">
        <v>784</v>
      </c>
      <c r="F35" s="2281" t="s">
        <v>785</v>
      </c>
      <c r="G35" s="2281"/>
      <c r="H35" s="2281"/>
      <c r="I35" s="2281"/>
      <c r="J35" s="2281"/>
      <c r="K35" s="2282"/>
      <c r="L35" s="2246" t="s">
        <v>795</v>
      </c>
      <c r="M35" s="2247"/>
      <c r="N35" s="2247"/>
      <c r="O35" s="2247"/>
      <c r="P35" s="2247"/>
      <c r="Q35" s="2247"/>
      <c r="R35" s="2247"/>
      <c r="S35" s="2248"/>
      <c r="T35" s="917"/>
      <c r="U35" s="1004"/>
      <c r="V35" s="948"/>
      <c r="W35" s="948"/>
      <c r="X35" s="948"/>
      <c r="Y35" s="948"/>
      <c r="Z35" s="948"/>
      <c r="AA35" s="948"/>
      <c r="AB35" s="944"/>
      <c r="AC35" s="944"/>
      <c r="AD35" s="930"/>
      <c r="AE35" s="930"/>
      <c r="AF35" s="930"/>
      <c r="AG35" s="930"/>
      <c r="AH35" s="930"/>
      <c r="AI35" s="930"/>
      <c r="AJ35" s="930"/>
      <c r="AK35" s="930"/>
      <c r="AL35" s="930"/>
      <c r="AM35" s="930"/>
      <c r="AN35" s="930"/>
      <c r="AO35" s="930"/>
      <c r="AP35" s="930"/>
      <c r="AQ35" s="930"/>
      <c r="AR35" s="930"/>
      <c r="AS35" s="930"/>
      <c r="AT35" s="930"/>
      <c r="AU35" s="930"/>
      <c r="AV35" s="930"/>
      <c r="AW35" s="930"/>
      <c r="AX35" s="930"/>
      <c r="AY35" s="930"/>
      <c r="AZ35" s="930"/>
      <c r="BA35" s="930"/>
      <c r="BB35" s="930"/>
      <c r="BC35" s="930"/>
      <c r="BD35" s="930"/>
    </row>
    <row r="36" spans="1:56" ht="30" customHeight="1" x14ac:dyDescent="0.2">
      <c r="A36" s="2295"/>
      <c r="B36" s="2295"/>
      <c r="C36" s="926"/>
      <c r="D36" s="2270"/>
      <c r="E36" s="2270"/>
      <c r="F36" s="941">
        <v>3.5</v>
      </c>
      <c r="G36" s="940">
        <v>4</v>
      </c>
      <c r="H36" s="941">
        <v>4.5</v>
      </c>
      <c r="I36" s="940">
        <v>5</v>
      </c>
      <c r="J36" s="941">
        <v>5.5</v>
      </c>
      <c r="K36" s="942">
        <v>6</v>
      </c>
      <c r="L36" s="2249" t="s">
        <v>799</v>
      </c>
      <c r="M36" s="2250"/>
      <c r="N36" s="2250"/>
      <c r="O36" s="2250"/>
      <c r="P36" s="2250"/>
      <c r="Q36" s="2250"/>
      <c r="R36" s="2250"/>
      <c r="S36" s="2251"/>
      <c r="T36" s="591"/>
      <c r="U36" s="1004"/>
      <c r="V36" s="1005">
        <v>3.5</v>
      </c>
      <c r="W36" s="1010">
        <v>4</v>
      </c>
      <c r="X36" s="1005">
        <v>4.5</v>
      </c>
      <c r="Y36" s="1010">
        <v>5</v>
      </c>
      <c r="Z36" s="1005">
        <v>5.5</v>
      </c>
      <c r="AA36" s="1010">
        <v>6</v>
      </c>
      <c r="AB36" s="943"/>
      <c r="AC36" s="943"/>
      <c r="AD36" s="930"/>
      <c r="AE36" s="930"/>
      <c r="AF36" s="930"/>
      <c r="AG36" s="930"/>
      <c r="AH36" s="930"/>
      <c r="AI36" s="930"/>
      <c r="AJ36" s="930"/>
      <c r="AK36" s="930"/>
      <c r="AL36" s="930"/>
      <c r="AM36" s="930"/>
      <c r="AN36" s="930"/>
      <c r="AO36" s="930"/>
      <c r="AP36" s="930"/>
      <c r="AQ36" s="930"/>
      <c r="AR36" s="930"/>
      <c r="AS36" s="930"/>
      <c r="AT36" s="930"/>
      <c r="AU36" s="930"/>
      <c r="AV36" s="930"/>
      <c r="AW36" s="930"/>
      <c r="AX36" s="930"/>
      <c r="AY36" s="930"/>
      <c r="AZ36" s="930"/>
      <c r="BA36" s="930"/>
      <c r="BB36" s="930"/>
      <c r="BC36" s="930"/>
      <c r="BD36" s="930"/>
    </row>
    <row r="37" spans="1:56" ht="30" customHeight="1" x14ac:dyDescent="0.2">
      <c r="A37" s="2295"/>
      <c r="B37" s="2295"/>
      <c r="D37" s="2090" t="s">
        <v>788</v>
      </c>
      <c r="E37" s="977">
        <v>1.5</v>
      </c>
      <c r="F37" s="978">
        <f t="shared" ref="F37:F40" si="25">IF(V37&gt;0,(ROUND(V37*BelarusV*(1-$D$56),0)),"-")</f>
        <v>86973</v>
      </c>
      <c r="G37" s="978">
        <f t="shared" ref="G37:G40" si="26">IF(W37&gt;0,(ROUND(W37*BelarusV*(1-$D$56),0)),"-")</f>
        <v>92409</v>
      </c>
      <c r="H37" s="978">
        <f t="shared" ref="H37:H40" si="27">IF(X37&gt;0,(ROUND(X37*BelarusV*(1-$D$56),0)),"-")</f>
        <v>105989</v>
      </c>
      <c r="I37" s="984" t="str">
        <f t="shared" ref="I37:I40" si="28">IF(Y37&gt;0,(ROUND(Y37*BelarusV*(1-$D$56),0)),"-")</f>
        <v>-</v>
      </c>
      <c r="J37" s="984" t="str">
        <f t="shared" ref="J37:J40" si="29">IF(Z37&gt;0,(ROUND(Z37*BelarusV*(1-$D$56),0)),"-")</f>
        <v>-</v>
      </c>
      <c r="K37" s="985" t="str">
        <f t="shared" ref="K37:K40" si="30">IF(AA37&gt;0,(ROUND(AA37*BelarusV*(1-$D$56),0)),"-")</f>
        <v>-</v>
      </c>
      <c r="L37" s="2252"/>
      <c r="M37" s="2253"/>
      <c r="N37" s="2253"/>
      <c r="O37" s="2253"/>
      <c r="P37" s="2253"/>
      <c r="Q37" s="2253"/>
      <c r="R37" s="2253"/>
      <c r="S37" s="2254"/>
      <c r="U37" s="1005">
        <v>1.5</v>
      </c>
      <c r="V37" s="930">
        <v>86973</v>
      </c>
      <c r="W37" s="930">
        <v>92409</v>
      </c>
      <c r="X37" s="930">
        <v>105989</v>
      </c>
      <c r="Y37" s="931"/>
      <c r="Z37" s="931"/>
      <c r="AA37" s="931"/>
      <c r="AB37" s="943"/>
      <c r="AC37" s="943"/>
      <c r="AD37" s="930"/>
      <c r="AE37" s="930"/>
      <c r="AF37" s="930"/>
      <c r="AG37" s="930"/>
      <c r="AH37" s="930"/>
      <c r="AI37" s="930"/>
      <c r="AJ37" s="930"/>
      <c r="AK37" s="930"/>
      <c r="AL37" s="930"/>
      <c r="AM37" s="930"/>
      <c r="AN37" s="930"/>
      <c r="AO37" s="930"/>
      <c r="AP37" s="930"/>
      <c r="AQ37" s="930"/>
      <c r="AR37" s="930"/>
      <c r="AS37" s="930"/>
      <c r="AT37" s="930"/>
      <c r="AU37" s="930"/>
      <c r="AV37" s="930"/>
      <c r="AW37" s="930"/>
      <c r="AX37" s="930"/>
      <c r="AY37" s="930"/>
      <c r="AZ37" s="930"/>
      <c r="BA37" s="930"/>
      <c r="BB37" s="930"/>
      <c r="BC37" s="930"/>
      <c r="BD37" s="930"/>
    </row>
    <row r="38" spans="1:56" ht="30" customHeight="1" x14ac:dyDescent="0.2">
      <c r="A38" s="2295"/>
      <c r="B38" s="2295"/>
      <c r="D38" s="2090"/>
      <c r="E38" s="992">
        <v>1.8</v>
      </c>
      <c r="F38" s="980">
        <f t="shared" si="25"/>
        <v>95593</v>
      </c>
      <c r="G38" s="980">
        <f t="shared" si="26"/>
        <v>101107</v>
      </c>
      <c r="H38" s="980">
        <f t="shared" si="27"/>
        <v>115746</v>
      </c>
      <c r="I38" s="990" t="str">
        <f t="shared" si="28"/>
        <v>-</v>
      </c>
      <c r="J38" s="990" t="str">
        <f t="shared" si="29"/>
        <v>-</v>
      </c>
      <c r="K38" s="993" t="str">
        <f t="shared" si="30"/>
        <v>-</v>
      </c>
      <c r="L38" s="2252"/>
      <c r="M38" s="2253"/>
      <c r="N38" s="2253"/>
      <c r="O38" s="2253"/>
      <c r="P38" s="2253"/>
      <c r="Q38" s="2253"/>
      <c r="R38" s="2253"/>
      <c r="S38" s="2254"/>
      <c r="U38" s="1005">
        <v>1.8</v>
      </c>
      <c r="V38" s="930">
        <v>95593</v>
      </c>
      <c r="W38" s="930">
        <v>101107</v>
      </c>
      <c r="X38" s="930">
        <v>115746</v>
      </c>
      <c r="Y38" s="931"/>
      <c r="Z38" s="931"/>
      <c r="AA38" s="931"/>
      <c r="AB38" s="943"/>
      <c r="AC38" s="943"/>
      <c r="AD38" s="930"/>
      <c r="AE38" s="930"/>
      <c r="AF38" s="930"/>
      <c r="AG38" s="930"/>
      <c r="AH38" s="930"/>
      <c r="AI38" s="930"/>
      <c r="AJ38" s="930"/>
      <c r="AK38" s="930"/>
      <c r="AL38" s="930"/>
      <c r="AM38" s="930"/>
      <c r="AN38" s="930"/>
      <c r="AO38" s="930"/>
      <c r="AP38" s="930"/>
      <c r="AQ38" s="930"/>
      <c r="AR38" s="930"/>
      <c r="AS38" s="930"/>
      <c r="AT38" s="930"/>
      <c r="AU38" s="930"/>
      <c r="AV38" s="930"/>
      <c r="AW38" s="930"/>
      <c r="AX38" s="930"/>
      <c r="AY38" s="930"/>
      <c r="AZ38" s="930"/>
      <c r="BA38" s="930"/>
      <c r="BB38" s="930"/>
      <c r="BC38" s="930"/>
      <c r="BD38" s="930"/>
    </row>
    <row r="39" spans="1:56" ht="30" customHeight="1" x14ac:dyDescent="0.2">
      <c r="A39" s="2295"/>
      <c r="B39" s="2295"/>
      <c r="D39" s="2090"/>
      <c r="E39" s="989">
        <v>2</v>
      </c>
      <c r="F39" s="980">
        <f t="shared" si="25"/>
        <v>95593</v>
      </c>
      <c r="G39" s="980">
        <f t="shared" si="26"/>
        <v>101107</v>
      </c>
      <c r="H39" s="980">
        <f t="shared" si="27"/>
        <v>115746</v>
      </c>
      <c r="I39" s="980">
        <f t="shared" si="28"/>
        <v>154437</v>
      </c>
      <c r="J39" s="980">
        <f t="shared" si="29"/>
        <v>167122</v>
      </c>
      <c r="K39" s="986">
        <f t="shared" si="30"/>
        <v>174332</v>
      </c>
      <c r="L39" s="2252"/>
      <c r="M39" s="2253"/>
      <c r="N39" s="2253"/>
      <c r="O39" s="2253"/>
      <c r="P39" s="2253"/>
      <c r="Q39" s="2253"/>
      <c r="R39" s="2253"/>
      <c r="S39" s="2254"/>
      <c r="U39" s="1010">
        <v>2</v>
      </c>
      <c r="V39" s="930">
        <v>95593</v>
      </c>
      <c r="W39" s="930">
        <v>101107</v>
      </c>
      <c r="X39" s="930">
        <v>115746</v>
      </c>
      <c r="Y39" s="930">
        <v>154437</v>
      </c>
      <c r="Z39" s="930">
        <v>167122</v>
      </c>
      <c r="AA39" s="930">
        <v>174332</v>
      </c>
      <c r="AB39" s="943"/>
      <c r="AC39" s="943"/>
      <c r="AD39" s="930"/>
      <c r="AE39" s="930"/>
      <c r="AF39" s="930"/>
      <c r="AG39" s="930"/>
      <c r="AH39" s="930"/>
      <c r="AI39" s="930"/>
      <c r="AJ39" s="930"/>
      <c r="AK39" s="930"/>
      <c r="AL39" s="930"/>
      <c r="AM39" s="930"/>
      <c r="AN39" s="930"/>
      <c r="AO39" s="930"/>
      <c r="AP39" s="930"/>
      <c r="AQ39" s="930"/>
      <c r="AR39" s="930"/>
      <c r="AS39" s="930"/>
      <c r="AT39" s="930"/>
      <c r="AU39" s="930"/>
      <c r="AV39" s="930"/>
      <c r="AW39" s="930"/>
      <c r="AX39" s="930"/>
      <c r="AY39" s="930"/>
      <c r="AZ39" s="930"/>
      <c r="BA39" s="930"/>
      <c r="BB39" s="930"/>
      <c r="BC39" s="930"/>
      <c r="BD39" s="930"/>
    </row>
    <row r="40" spans="1:56" ht="30" customHeight="1" x14ac:dyDescent="0.2">
      <c r="A40" s="2295"/>
      <c r="B40" s="2295"/>
      <c r="D40" s="2090"/>
      <c r="E40" s="994">
        <v>2.5</v>
      </c>
      <c r="F40" s="982">
        <f t="shared" si="25"/>
        <v>103083</v>
      </c>
      <c r="G40" s="982">
        <f t="shared" si="26"/>
        <v>105707</v>
      </c>
      <c r="H40" s="983" t="str">
        <f t="shared" si="27"/>
        <v>-</v>
      </c>
      <c r="I40" s="983" t="str">
        <f t="shared" si="28"/>
        <v>-</v>
      </c>
      <c r="J40" s="983" t="str">
        <f t="shared" si="29"/>
        <v>-</v>
      </c>
      <c r="K40" s="987" t="str">
        <f t="shared" si="30"/>
        <v>-</v>
      </c>
      <c r="L40" s="2255"/>
      <c r="M40" s="2256"/>
      <c r="N40" s="2256"/>
      <c r="O40" s="2256"/>
      <c r="P40" s="2256"/>
      <c r="Q40" s="2256"/>
      <c r="R40" s="2256"/>
      <c r="S40" s="2257"/>
      <c r="U40" s="1005">
        <v>2.5</v>
      </c>
      <c r="V40" s="930">
        <v>103083</v>
      </c>
      <c r="W40" s="930">
        <v>105707</v>
      </c>
      <c r="X40" s="931"/>
      <c r="Y40" s="931"/>
      <c r="Z40" s="931"/>
      <c r="AA40" s="931"/>
      <c r="AB40" s="943"/>
      <c r="AC40" s="943"/>
      <c r="AD40" s="930"/>
      <c r="AE40" s="930"/>
      <c r="AF40" s="930"/>
      <c r="AG40" s="930"/>
      <c r="AH40" s="930"/>
      <c r="AI40" s="930"/>
      <c r="AJ40" s="930"/>
      <c r="AK40" s="930"/>
      <c r="AL40" s="930"/>
      <c r="AM40" s="930"/>
      <c r="AN40" s="930"/>
      <c r="AO40" s="930"/>
      <c r="AP40" s="930"/>
      <c r="AQ40" s="930"/>
      <c r="AR40" s="930"/>
      <c r="AS40" s="930"/>
      <c r="AT40" s="930"/>
      <c r="AU40" s="930"/>
      <c r="AV40" s="930"/>
      <c r="AW40" s="930"/>
      <c r="AX40" s="930"/>
      <c r="AY40" s="930"/>
      <c r="AZ40" s="930"/>
      <c r="BA40" s="930"/>
      <c r="BB40" s="930"/>
      <c r="BC40" s="930"/>
      <c r="BD40" s="930"/>
    </row>
    <row r="41" spans="1:56" ht="15" customHeight="1" x14ac:dyDescent="0.2">
      <c r="A41" s="957"/>
      <c r="B41" s="957"/>
      <c r="C41" s="951"/>
      <c r="D41" s="952"/>
      <c r="E41" s="958"/>
      <c r="F41" s="954"/>
      <c r="G41" s="954"/>
      <c r="H41" s="955"/>
      <c r="I41" s="955"/>
      <c r="J41" s="955"/>
      <c r="K41" s="955"/>
      <c r="L41" s="959"/>
      <c r="M41" s="959"/>
      <c r="N41" s="959"/>
      <c r="O41" s="959"/>
      <c r="P41" s="959"/>
      <c r="Q41" s="959"/>
      <c r="R41" s="959"/>
      <c r="S41" s="959"/>
      <c r="U41" s="1005"/>
      <c r="V41" s="930"/>
      <c r="W41" s="930"/>
      <c r="X41" s="931"/>
      <c r="Y41" s="931"/>
      <c r="Z41" s="931"/>
      <c r="AA41" s="931"/>
      <c r="AB41" s="995"/>
      <c r="AC41" s="995"/>
      <c r="AD41" s="930"/>
      <c r="AE41" s="930"/>
      <c r="AF41" s="930"/>
      <c r="AG41" s="930"/>
      <c r="AH41" s="930"/>
      <c r="AI41" s="930"/>
      <c r="AJ41" s="930"/>
      <c r="AK41" s="930"/>
      <c r="AL41" s="930"/>
      <c r="AM41" s="930"/>
      <c r="AN41" s="930"/>
      <c r="AO41" s="930"/>
      <c r="AP41" s="930"/>
      <c r="AQ41" s="930"/>
      <c r="AR41" s="930"/>
      <c r="AS41" s="930"/>
      <c r="AT41" s="930"/>
      <c r="AU41" s="930"/>
      <c r="AV41" s="930"/>
      <c r="AW41" s="930"/>
      <c r="AX41" s="930"/>
      <c r="AY41" s="930"/>
      <c r="AZ41" s="930"/>
      <c r="BA41" s="930"/>
      <c r="BB41" s="930"/>
      <c r="BC41" s="930"/>
      <c r="BD41" s="930"/>
    </row>
    <row r="42" spans="1:56" ht="15" customHeight="1" x14ac:dyDescent="0.2">
      <c r="A42" s="929"/>
      <c r="B42" s="929"/>
      <c r="D42" s="284"/>
      <c r="E42" s="918"/>
      <c r="F42" s="930"/>
      <c r="G42" s="930"/>
      <c r="H42" s="931"/>
      <c r="I42" s="931"/>
      <c r="J42" s="931"/>
      <c r="K42" s="931"/>
      <c r="L42" s="928"/>
      <c r="M42" s="928"/>
      <c r="N42" s="928"/>
      <c r="O42" s="928"/>
      <c r="P42" s="928"/>
      <c r="Q42" s="928"/>
      <c r="R42" s="928"/>
      <c r="S42" s="928"/>
      <c r="U42" s="1005"/>
      <c r="V42" s="930"/>
      <c r="W42" s="930"/>
      <c r="X42" s="931"/>
      <c r="Y42" s="931"/>
      <c r="Z42" s="931"/>
      <c r="AA42" s="931"/>
      <c r="AB42" s="928"/>
      <c r="AC42" s="928"/>
      <c r="AD42" s="930"/>
      <c r="AE42" s="930"/>
      <c r="AF42" s="930"/>
      <c r="AG42" s="930"/>
      <c r="AH42" s="930"/>
      <c r="AI42" s="930"/>
      <c r="AJ42" s="930"/>
      <c r="AK42" s="930"/>
      <c r="AL42" s="930"/>
      <c r="AM42" s="930"/>
      <c r="AN42" s="930"/>
      <c r="AO42" s="930"/>
      <c r="AP42" s="930"/>
      <c r="AQ42" s="930"/>
      <c r="AR42" s="930"/>
      <c r="AS42" s="930"/>
      <c r="AT42" s="930"/>
      <c r="AU42" s="930"/>
      <c r="AV42" s="930"/>
      <c r="AW42" s="930"/>
      <c r="AX42" s="930"/>
      <c r="AY42" s="930"/>
      <c r="AZ42" s="930"/>
      <c r="BA42" s="930"/>
      <c r="BB42" s="930"/>
      <c r="BC42" s="930"/>
      <c r="BD42" s="930"/>
    </row>
    <row r="43" spans="1:56" ht="30" customHeight="1" x14ac:dyDescent="0.2">
      <c r="A43" s="2153" t="s">
        <v>791</v>
      </c>
      <c r="B43" s="2154"/>
      <c r="D43" s="2284" t="s">
        <v>71</v>
      </c>
      <c r="E43" s="2284" t="s">
        <v>784</v>
      </c>
      <c r="F43" s="2282" t="s">
        <v>785</v>
      </c>
      <c r="G43" s="2297"/>
      <c r="H43" s="948"/>
      <c r="I43" s="2304" t="s">
        <v>71</v>
      </c>
      <c r="J43" s="2305"/>
      <c r="K43" s="2284" t="s">
        <v>784</v>
      </c>
      <c r="L43" s="939" t="s">
        <v>785</v>
      </c>
      <c r="M43" s="279"/>
      <c r="N43" s="2246" t="s">
        <v>793</v>
      </c>
      <c r="O43" s="2247"/>
      <c r="P43" s="2247"/>
      <c r="Q43" s="2247"/>
      <c r="R43" s="2247"/>
      <c r="S43" s="2248"/>
      <c r="U43" s="1004"/>
      <c r="V43" s="948"/>
      <c r="W43" s="948"/>
      <c r="X43" s="948"/>
      <c r="Y43" s="1001"/>
      <c r="Z43" s="1001"/>
      <c r="AA43" s="1001"/>
      <c r="AB43" s="1000"/>
      <c r="AC43" s="279"/>
      <c r="AD43" s="930"/>
      <c r="AE43" s="930"/>
      <c r="AF43" s="930"/>
      <c r="AG43" s="930"/>
      <c r="AH43" s="930"/>
      <c r="AI43" s="930"/>
      <c r="AJ43" s="930"/>
      <c r="AK43" s="930"/>
      <c r="AL43" s="930"/>
      <c r="AM43" s="930"/>
      <c r="AN43" s="930"/>
      <c r="AO43" s="930"/>
      <c r="AP43" s="930"/>
      <c r="AQ43" s="930"/>
      <c r="AR43" s="930"/>
      <c r="AS43" s="930"/>
      <c r="AT43" s="930"/>
      <c r="AU43" s="930"/>
      <c r="AV43" s="930"/>
      <c r="AW43" s="930"/>
      <c r="AX43" s="930"/>
      <c r="AY43" s="930"/>
      <c r="AZ43" s="930"/>
      <c r="BA43" s="930"/>
      <c r="BB43" s="930"/>
      <c r="BC43" s="930"/>
      <c r="BD43" s="930"/>
    </row>
    <row r="44" spans="1:56" ht="30" customHeight="1" x14ac:dyDescent="0.2">
      <c r="A44" s="2302"/>
      <c r="B44" s="2303"/>
      <c r="D44" s="2310"/>
      <c r="E44" s="2310"/>
      <c r="F44" s="2299">
        <v>1</v>
      </c>
      <c r="G44" s="2299"/>
      <c r="H44" s="949"/>
      <c r="I44" s="2306"/>
      <c r="J44" s="2307"/>
      <c r="K44" s="2310"/>
      <c r="L44" s="2311">
        <v>4</v>
      </c>
      <c r="M44" s="927"/>
      <c r="N44" s="2249" t="s">
        <v>1331</v>
      </c>
      <c r="O44" s="2250"/>
      <c r="P44" s="2250"/>
      <c r="Q44" s="2250"/>
      <c r="R44" s="2250"/>
      <c r="S44" s="2251"/>
      <c r="U44" s="1004"/>
      <c r="V44" s="2301">
        <v>1</v>
      </c>
      <c r="W44" s="2301"/>
      <c r="X44" s="949"/>
      <c r="Y44" s="1001"/>
      <c r="Z44" s="1001"/>
      <c r="AA44" s="1001"/>
      <c r="AB44" s="1010">
        <v>4</v>
      </c>
      <c r="AC44" s="379"/>
      <c r="AD44" s="930"/>
      <c r="AE44" s="930"/>
      <c r="AF44" s="930"/>
      <c r="AG44" s="930"/>
      <c r="AH44" s="930"/>
      <c r="AI44" s="930"/>
      <c r="AJ44" s="930"/>
      <c r="AK44" s="930"/>
      <c r="AL44" s="930"/>
      <c r="AM44" s="930"/>
      <c r="AN44" s="930"/>
      <c r="AO44" s="930"/>
      <c r="AP44" s="930"/>
      <c r="AQ44" s="930"/>
      <c r="AR44" s="930"/>
      <c r="AS44" s="930"/>
      <c r="AT44" s="930"/>
      <c r="AU44" s="930"/>
      <c r="AV44" s="930"/>
      <c r="AW44" s="930"/>
      <c r="AX44" s="930"/>
      <c r="AY44" s="930"/>
      <c r="AZ44" s="930"/>
      <c r="BA44" s="930"/>
      <c r="BB44" s="930"/>
      <c r="BC44" s="930"/>
      <c r="BD44" s="930"/>
    </row>
    <row r="45" spans="1:56" ht="30" customHeight="1" x14ac:dyDescent="0.2">
      <c r="A45" s="2302"/>
      <c r="B45" s="2303"/>
      <c r="D45" s="2310"/>
      <c r="E45" s="2310"/>
      <c r="F45" s="2318" t="s">
        <v>732</v>
      </c>
      <c r="G45" s="2316" t="s">
        <v>733</v>
      </c>
      <c r="H45" s="947"/>
      <c r="I45" s="2306"/>
      <c r="J45" s="2307"/>
      <c r="K45" s="2310"/>
      <c r="L45" s="2312"/>
      <c r="M45" s="927"/>
      <c r="N45" s="2252"/>
      <c r="O45" s="2253"/>
      <c r="P45" s="2253"/>
      <c r="Q45" s="2253"/>
      <c r="R45" s="2253"/>
      <c r="S45" s="2254"/>
      <c r="U45" s="1004"/>
      <c r="V45" s="2300" t="s">
        <v>732</v>
      </c>
      <c r="W45" s="2300" t="s">
        <v>733</v>
      </c>
      <c r="X45" s="947"/>
      <c r="Y45" s="1001"/>
      <c r="Z45" s="1001"/>
      <c r="AA45" s="1001"/>
      <c r="AB45" s="1002"/>
      <c r="AC45" s="379"/>
      <c r="AD45" s="930"/>
      <c r="AE45" s="930"/>
      <c r="AF45" s="930"/>
      <c r="AG45" s="930"/>
      <c r="AH45" s="930"/>
      <c r="AI45" s="930"/>
      <c r="AJ45" s="930"/>
      <c r="AK45" s="930"/>
      <c r="AL45" s="930"/>
      <c r="AM45" s="930"/>
      <c r="AN45" s="930"/>
      <c r="AO45" s="930"/>
      <c r="AP45" s="930"/>
      <c r="AQ45" s="930"/>
      <c r="AR45" s="930"/>
      <c r="AS45" s="930"/>
      <c r="AT45" s="930"/>
      <c r="AU45" s="930"/>
      <c r="AV45" s="930"/>
      <c r="AW45" s="930"/>
      <c r="AX45" s="930"/>
      <c r="AY45" s="930"/>
      <c r="AZ45" s="930"/>
      <c r="BA45" s="930"/>
      <c r="BB45" s="930"/>
      <c r="BC45" s="930"/>
      <c r="BD45" s="930"/>
    </row>
    <row r="46" spans="1:56" ht="30" customHeight="1" x14ac:dyDescent="0.2">
      <c r="A46" s="2302"/>
      <c r="B46" s="2303"/>
      <c r="D46" s="2285"/>
      <c r="E46" s="2285"/>
      <c r="F46" s="2319"/>
      <c r="G46" s="2317"/>
      <c r="H46" s="947"/>
      <c r="I46" s="2308"/>
      <c r="J46" s="2309"/>
      <c r="K46" s="2285"/>
      <c r="L46" s="2313"/>
      <c r="M46" s="927"/>
      <c r="N46" s="2252"/>
      <c r="O46" s="2253"/>
      <c r="P46" s="2253"/>
      <c r="Q46" s="2253"/>
      <c r="R46" s="2253"/>
      <c r="S46" s="2254"/>
      <c r="U46" s="1004"/>
      <c r="V46" s="2300"/>
      <c r="W46" s="2300"/>
      <c r="X46" s="947"/>
      <c r="Y46" s="1001"/>
      <c r="Z46" s="1001"/>
      <c r="AA46" s="1001"/>
      <c r="AB46" s="1002"/>
      <c r="AC46" s="379"/>
      <c r="AD46" s="930"/>
      <c r="AE46" s="930"/>
      <c r="AF46" s="930"/>
      <c r="AG46" s="930"/>
      <c r="AH46" s="930"/>
      <c r="AI46" s="930"/>
      <c r="AJ46" s="930"/>
      <c r="AK46" s="930"/>
      <c r="AL46" s="930"/>
      <c r="AM46" s="930"/>
      <c r="AN46" s="930"/>
      <c r="AO46" s="930"/>
      <c r="AP46" s="930"/>
      <c r="AQ46" s="930"/>
      <c r="AR46" s="930"/>
      <c r="AS46" s="930"/>
      <c r="AT46" s="930"/>
      <c r="AU46" s="930"/>
      <c r="AV46" s="930"/>
      <c r="AW46" s="930"/>
      <c r="AX46" s="930"/>
      <c r="AY46" s="930"/>
      <c r="AZ46" s="930"/>
      <c r="BA46" s="930"/>
      <c r="BB46" s="930"/>
      <c r="BC46" s="930"/>
      <c r="BD46" s="930"/>
    </row>
    <row r="47" spans="1:56" ht="30" customHeight="1" x14ac:dyDescent="0.2">
      <c r="A47" s="2302"/>
      <c r="B47" s="2303"/>
      <c r="C47" s="16"/>
      <c r="D47" s="2314" t="s">
        <v>802</v>
      </c>
      <c r="E47" s="932">
        <v>1.68</v>
      </c>
      <c r="F47" s="1289">
        <f t="shared" ref="F47:F50" si="31">IF(V47&gt;0,(ROUND(V47*BelarusV*(1-$D$56),0)),"-")</f>
        <v>39085</v>
      </c>
      <c r="G47" s="978" t="str">
        <f t="shared" ref="G47:G48" si="32">IF(W47&gt;0,(ROUND(W47*BelarusV*(1-$D$56),0)),"-")</f>
        <v>-</v>
      </c>
      <c r="H47" s="930"/>
      <c r="I47" s="2288" t="s">
        <v>792</v>
      </c>
      <c r="J47" s="2289"/>
      <c r="K47" s="932">
        <v>1.68</v>
      </c>
      <c r="L47" s="978">
        <f t="shared" ref="L47:L48" si="33">IF(AB47&gt;0,(ROUND(AB47*BelarusV*(1-$D$56),0)),"-")</f>
        <v>84454</v>
      </c>
      <c r="M47" s="927"/>
      <c r="N47" s="2252"/>
      <c r="O47" s="2253"/>
      <c r="P47" s="2253"/>
      <c r="Q47" s="2253"/>
      <c r="R47" s="2253"/>
      <c r="S47" s="2254"/>
      <c r="U47" s="1011">
        <v>1.68</v>
      </c>
      <c r="V47" s="344">
        <v>39085</v>
      </c>
      <c r="W47" s="344"/>
      <c r="X47" s="930"/>
      <c r="Y47" s="288"/>
      <c r="Z47" s="288"/>
      <c r="AA47" s="1011">
        <v>1.68</v>
      </c>
      <c r="AB47" s="930">
        <v>84454</v>
      </c>
      <c r="AC47" s="379"/>
      <c r="AD47" s="930"/>
      <c r="AE47" s="930"/>
      <c r="AF47" s="930"/>
      <c r="AG47" s="930"/>
      <c r="AH47" s="930"/>
      <c r="AI47" s="930"/>
      <c r="AJ47" s="930"/>
      <c r="AK47" s="930"/>
      <c r="AL47" s="930"/>
      <c r="AM47" s="930"/>
      <c r="AN47" s="930"/>
      <c r="AO47" s="930"/>
      <c r="AP47" s="930"/>
      <c r="AQ47" s="930"/>
      <c r="AR47" s="930"/>
      <c r="AS47" s="930"/>
      <c r="AT47" s="930"/>
      <c r="AU47" s="930"/>
      <c r="AV47" s="930"/>
      <c r="AW47" s="930"/>
      <c r="AX47" s="930"/>
      <c r="AY47" s="930"/>
      <c r="AZ47" s="930"/>
      <c r="BA47" s="930"/>
      <c r="BB47" s="930"/>
      <c r="BC47" s="930"/>
      <c r="BD47" s="930"/>
    </row>
    <row r="48" spans="1:56" ht="30" customHeight="1" x14ac:dyDescent="0.2">
      <c r="A48" s="2302"/>
      <c r="B48" s="2303"/>
      <c r="C48" s="16"/>
      <c r="D48" s="2315"/>
      <c r="E48" s="933">
        <v>2</v>
      </c>
      <c r="F48" s="1290">
        <f t="shared" si="31"/>
        <v>40796</v>
      </c>
      <c r="G48" s="982" t="str">
        <f t="shared" si="32"/>
        <v>-</v>
      </c>
      <c r="H48" s="930"/>
      <c r="I48" s="2290"/>
      <c r="J48" s="2291"/>
      <c r="K48" s="933">
        <v>2</v>
      </c>
      <c r="L48" s="982">
        <f t="shared" si="33"/>
        <v>96976</v>
      </c>
      <c r="M48" s="927"/>
      <c r="N48" s="2255"/>
      <c r="O48" s="2256"/>
      <c r="P48" s="2256"/>
      <c r="Q48" s="2256"/>
      <c r="R48" s="2256"/>
      <c r="S48" s="2257"/>
      <c r="T48" s="434"/>
      <c r="U48" s="1011">
        <v>2</v>
      </c>
      <c r="V48" s="344">
        <v>40796</v>
      </c>
      <c r="W48" s="344"/>
      <c r="X48" s="930"/>
      <c r="Y48" s="288"/>
      <c r="Z48" s="288"/>
      <c r="AA48" s="1011">
        <v>2</v>
      </c>
      <c r="AB48" s="930">
        <v>96976</v>
      </c>
      <c r="AC48" s="379"/>
      <c r="AD48" s="930"/>
      <c r="AE48" s="930"/>
      <c r="AF48" s="930"/>
      <c r="AG48" s="930"/>
      <c r="AH48" s="930"/>
      <c r="AI48" s="930"/>
      <c r="AJ48" s="930"/>
      <c r="AK48" s="930"/>
      <c r="AL48" s="930"/>
      <c r="AM48" s="930"/>
      <c r="AN48" s="930"/>
      <c r="AO48" s="930"/>
      <c r="AP48" s="930"/>
      <c r="AQ48" s="930"/>
      <c r="AR48" s="930"/>
      <c r="AS48" s="930"/>
      <c r="AT48" s="930"/>
      <c r="AU48" s="930"/>
      <c r="AV48" s="930"/>
      <c r="AW48" s="930"/>
      <c r="AX48" s="930"/>
      <c r="AY48" s="930"/>
      <c r="AZ48" s="930"/>
      <c r="BA48" s="930"/>
      <c r="BB48" s="930"/>
      <c r="BC48" s="930"/>
      <c r="BD48" s="930"/>
    </row>
    <row r="49" spans="1:56" ht="30" customHeight="1" x14ac:dyDescent="0.2">
      <c r="A49" s="2302"/>
      <c r="B49" s="2303"/>
      <c r="C49" s="16"/>
      <c r="D49" s="2314" t="s">
        <v>803</v>
      </c>
      <c r="E49" s="932">
        <v>1.68</v>
      </c>
      <c r="F49" s="1289" t="str">
        <f t="shared" si="31"/>
        <v>-</v>
      </c>
      <c r="G49" s="978">
        <f>IF(W49&gt;0,(ROUND(W49*BelarusV*(1-$D$56),0)),"-")</f>
        <v>43635</v>
      </c>
      <c r="H49" s="842"/>
      <c r="I49" s="379"/>
      <c r="J49" s="379"/>
      <c r="K49" s="938"/>
      <c r="L49" s="938"/>
      <c r="M49" s="284"/>
      <c r="N49" s="943"/>
      <c r="O49" s="943"/>
      <c r="P49" s="943"/>
      <c r="Q49" s="943"/>
      <c r="R49" s="943"/>
      <c r="S49" s="943"/>
      <c r="T49" s="435"/>
      <c r="U49" s="1011">
        <v>1.68</v>
      </c>
      <c r="W49" s="344">
        <v>43635</v>
      </c>
      <c r="X49" s="842"/>
      <c r="Y49" s="379"/>
      <c r="Z49" s="379"/>
      <c r="AA49" s="938"/>
      <c r="AB49" s="938"/>
      <c r="AC49" s="284"/>
      <c r="AD49" s="930"/>
      <c r="AE49" s="930"/>
      <c r="AF49" s="930"/>
      <c r="AG49" s="930"/>
      <c r="AH49" s="930"/>
      <c r="AI49" s="930"/>
      <c r="AJ49" s="930"/>
      <c r="AK49" s="930"/>
      <c r="AL49" s="930"/>
      <c r="AM49" s="930"/>
      <c r="AN49" s="930"/>
      <c r="AO49" s="930"/>
      <c r="AP49" s="930"/>
      <c r="AQ49" s="930"/>
      <c r="AR49" s="930"/>
      <c r="AS49" s="930"/>
      <c r="AT49" s="930"/>
      <c r="AU49" s="930"/>
      <c r="AV49" s="930"/>
      <c r="AW49" s="930"/>
      <c r="AX49" s="930"/>
      <c r="AY49" s="930"/>
      <c r="AZ49" s="930"/>
      <c r="BA49" s="930"/>
      <c r="BB49" s="930"/>
      <c r="BC49" s="930"/>
      <c r="BD49" s="930"/>
    </row>
    <row r="50" spans="1:56" ht="30" customHeight="1" x14ac:dyDescent="0.2">
      <c r="A50" s="2155"/>
      <c r="B50" s="2156"/>
      <c r="C50" s="16"/>
      <c r="D50" s="2315"/>
      <c r="E50" s="933">
        <v>2</v>
      </c>
      <c r="F50" s="1290">
        <f t="shared" si="31"/>
        <v>42296</v>
      </c>
      <c r="G50" s="982">
        <f>IF(W50&gt;0,(ROUND(W50*BelarusV*(1-$D$56),0)),"-")</f>
        <v>45346</v>
      </c>
      <c r="H50" s="842"/>
      <c r="J50" s="279"/>
      <c r="K50" s="938"/>
      <c r="L50" s="2030" t="s">
        <v>1356</v>
      </c>
      <c r="M50" s="2030"/>
      <c r="N50" s="2030" t="s">
        <v>1359</v>
      </c>
      <c r="O50" s="2030"/>
      <c r="P50" s="2030"/>
      <c r="Q50" s="2030" t="s">
        <v>486</v>
      </c>
      <c r="R50" s="2030"/>
      <c r="S50" s="2030"/>
      <c r="T50" s="435"/>
      <c r="U50" s="1011">
        <v>2</v>
      </c>
      <c r="V50" s="344">
        <v>42296</v>
      </c>
      <c r="W50" s="344">
        <v>45346</v>
      </c>
      <c r="X50" s="842"/>
      <c r="Y50" s="279"/>
      <c r="Z50" s="279"/>
      <c r="AA50" s="938"/>
      <c r="AB50" s="938"/>
      <c r="AC50" s="284"/>
      <c r="AD50" s="930"/>
      <c r="AE50" s="930"/>
      <c r="AF50" s="930"/>
      <c r="AG50" s="930"/>
      <c r="AH50" s="930"/>
      <c r="AI50" s="930"/>
      <c r="AJ50" s="930"/>
      <c r="AK50" s="930"/>
      <c r="AL50" s="930"/>
      <c r="AM50" s="930"/>
      <c r="AN50" s="930"/>
      <c r="AO50" s="930"/>
      <c r="AP50" s="930"/>
      <c r="AQ50" s="930"/>
      <c r="AR50" s="930"/>
      <c r="AS50" s="930"/>
      <c r="AT50" s="930"/>
      <c r="AU50" s="930"/>
      <c r="AV50" s="930"/>
      <c r="AW50" s="930"/>
      <c r="AX50" s="930"/>
      <c r="AY50" s="930"/>
      <c r="AZ50" s="930"/>
      <c r="BA50" s="930"/>
      <c r="BB50" s="930"/>
      <c r="BC50" s="930"/>
      <c r="BD50" s="930"/>
    </row>
    <row r="51" spans="1:56" ht="15" customHeight="1" x14ac:dyDescent="0.2">
      <c r="A51" s="960"/>
      <c r="B51" s="961"/>
      <c r="C51" s="961"/>
      <c r="D51" s="962"/>
      <c r="E51" s="962"/>
      <c r="F51" s="963"/>
      <c r="G51" s="963"/>
      <c r="H51" s="964"/>
      <c r="I51" s="964"/>
      <c r="J51" s="964"/>
      <c r="K51" s="965"/>
      <c r="L51" s="2283"/>
      <c r="M51" s="2283"/>
      <c r="N51" s="2283"/>
      <c r="O51" s="2283"/>
      <c r="P51" s="2283"/>
      <c r="Q51" s="2283"/>
      <c r="R51" s="2283"/>
      <c r="S51" s="2283"/>
      <c r="T51" s="435"/>
      <c r="U51" s="1012"/>
      <c r="V51" s="279"/>
      <c r="W51" s="279"/>
      <c r="X51" s="279"/>
      <c r="Y51" s="279"/>
      <c r="Z51" s="279"/>
      <c r="AA51" s="279"/>
      <c r="AD51" s="930"/>
      <c r="AE51" s="930"/>
      <c r="AF51" s="930"/>
      <c r="AG51" s="930"/>
      <c r="AH51" s="930"/>
      <c r="AI51" s="930"/>
      <c r="AJ51" s="930"/>
      <c r="AK51" s="930"/>
      <c r="AL51" s="930"/>
      <c r="AM51" s="930"/>
      <c r="AN51" s="930"/>
      <c r="AO51" s="930"/>
      <c r="AP51" s="930"/>
      <c r="AQ51" s="930"/>
      <c r="AR51" s="930"/>
      <c r="AS51" s="930"/>
      <c r="AT51" s="930"/>
      <c r="AU51" s="930"/>
      <c r="AV51" s="930"/>
      <c r="AW51" s="930"/>
      <c r="AX51" s="930"/>
      <c r="AY51" s="930"/>
      <c r="AZ51" s="930"/>
      <c r="BA51" s="930"/>
      <c r="BB51" s="930"/>
      <c r="BC51" s="930"/>
      <c r="BD51" s="930"/>
    </row>
    <row r="52" spans="1:56" ht="15" customHeight="1" x14ac:dyDescent="0.2">
      <c r="A52" s="916"/>
      <c r="B52" s="16"/>
      <c r="C52" s="16"/>
      <c r="D52" s="913"/>
      <c r="E52" s="913"/>
      <c r="F52" s="914"/>
      <c r="G52" s="914"/>
      <c r="H52" s="379"/>
      <c r="I52" s="379"/>
      <c r="J52" s="379"/>
      <c r="K52" s="915"/>
      <c r="L52" s="16"/>
      <c r="M52" s="284"/>
      <c r="N52" s="928"/>
      <c r="O52" s="928"/>
      <c r="P52" s="928"/>
      <c r="Q52" s="928"/>
      <c r="R52" s="928"/>
      <c r="S52" s="928"/>
      <c r="T52" s="435"/>
      <c r="U52" s="1012"/>
      <c r="V52" s="279"/>
      <c r="W52" s="279"/>
      <c r="X52" s="279"/>
      <c r="Y52" s="279"/>
      <c r="Z52" s="279"/>
      <c r="AA52" s="279"/>
      <c r="AD52" s="930"/>
      <c r="AE52" s="930"/>
      <c r="AF52" s="930"/>
      <c r="AG52" s="930"/>
      <c r="AH52" s="930"/>
      <c r="AI52" s="930"/>
      <c r="AJ52" s="930"/>
      <c r="AK52" s="930"/>
      <c r="AL52" s="930"/>
      <c r="AM52" s="930"/>
      <c r="AN52" s="930"/>
      <c r="AO52" s="930"/>
      <c r="AP52" s="930"/>
      <c r="AQ52" s="930"/>
      <c r="AR52" s="930"/>
      <c r="AS52" s="930"/>
      <c r="AT52" s="930"/>
      <c r="AU52" s="930"/>
      <c r="AV52" s="930"/>
      <c r="AW52" s="930"/>
      <c r="AX52" s="930"/>
      <c r="AY52" s="930"/>
      <c r="AZ52" s="930"/>
      <c r="BA52" s="930"/>
      <c r="BB52" s="930"/>
      <c r="BC52" s="930"/>
      <c r="BD52" s="930"/>
    </row>
    <row r="53" spans="1:56" ht="50.1" customHeight="1" x14ac:dyDescent="0.2">
      <c r="A53" s="2287" t="s">
        <v>796</v>
      </c>
      <c r="B53" s="2287"/>
      <c r="C53" s="2287"/>
      <c r="D53" s="2287"/>
      <c r="E53" s="2287"/>
      <c r="F53" s="2287"/>
      <c r="G53" s="2287"/>
      <c r="H53" s="2287"/>
      <c r="I53" s="2287"/>
      <c r="J53" s="2286" t="s">
        <v>623</v>
      </c>
      <c r="K53" s="2286"/>
      <c r="L53" s="2286"/>
      <c r="M53" s="2286"/>
      <c r="N53" s="2286"/>
      <c r="O53" s="2286"/>
      <c r="P53" s="2286"/>
      <c r="Q53" s="2286"/>
      <c r="R53" s="2286"/>
      <c r="S53" s="2286"/>
      <c r="T53" s="435"/>
      <c r="U53" s="1012"/>
      <c r="AD53" s="930"/>
      <c r="AE53" s="930"/>
      <c r="AF53" s="930"/>
      <c r="AG53" s="930"/>
      <c r="AH53" s="930"/>
      <c r="AI53" s="930"/>
      <c r="AJ53" s="930"/>
      <c r="AK53" s="930"/>
      <c r="AL53" s="930"/>
      <c r="AM53" s="930"/>
      <c r="AN53" s="930"/>
      <c r="AO53" s="930"/>
      <c r="AP53" s="930"/>
      <c r="AQ53" s="930"/>
      <c r="AR53" s="930"/>
      <c r="AS53" s="930"/>
      <c r="AT53" s="930"/>
      <c r="AU53" s="930"/>
      <c r="AV53" s="930"/>
      <c r="AW53" s="930"/>
      <c r="AX53" s="930"/>
      <c r="AY53" s="930"/>
      <c r="AZ53" s="930"/>
      <c r="BA53" s="930"/>
      <c r="BB53" s="930"/>
      <c r="BC53" s="930"/>
      <c r="BD53" s="930"/>
    </row>
    <row r="54" spans="1:56" ht="50.1" customHeight="1" x14ac:dyDescent="0.2">
      <c r="A54" s="945"/>
      <c r="B54" s="946"/>
      <c r="C54" s="946"/>
      <c r="D54" s="946"/>
      <c r="E54" s="946"/>
      <c r="F54" s="946"/>
      <c r="G54" s="946"/>
      <c r="H54" s="946"/>
      <c r="I54" s="946"/>
      <c r="J54" s="946"/>
      <c r="K54" s="946"/>
      <c r="L54" s="946"/>
      <c r="M54" s="946"/>
      <c r="N54" s="946"/>
      <c r="O54" s="946"/>
      <c r="P54" s="946"/>
      <c r="Q54" s="946"/>
      <c r="R54" s="946"/>
      <c r="S54" s="946"/>
      <c r="T54" s="435"/>
      <c r="AD54" s="930"/>
      <c r="AE54" s="930"/>
      <c r="AF54" s="930"/>
      <c r="AG54" s="930"/>
      <c r="AH54" s="930"/>
      <c r="AI54" s="930"/>
      <c r="AJ54" s="930"/>
      <c r="AK54" s="930"/>
      <c r="AL54" s="930"/>
      <c r="AM54" s="930"/>
      <c r="AN54" s="930"/>
      <c r="AO54" s="930"/>
      <c r="AP54" s="930"/>
      <c r="AQ54" s="930"/>
      <c r="AR54" s="930"/>
      <c r="AS54" s="930"/>
      <c r="AT54" s="930"/>
      <c r="AU54" s="930"/>
      <c r="AV54" s="930"/>
      <c r="AW54" s="930"/>
      <c r="AX54" s="930"/>
      <c r="AY54" s="930"/>
      <c r="AZ54" s="930"/>
      <c r="BA54" s="930"/>
      <c r="BB54" s="930"/>
      <c r="BC54" s="930"/>
      <c r="BD54" s="930"/>
    </row>
    <row r="55" spans="1:56" ht="24.95" customHeight="1" x14ac:dyDescent="0.2">
      <c r="A55" s="279"/>
      <c r="B55" s="279"/>
      <c r="C55" s="279"/>
      <c r="D55" s="279"/>
      <c r="E55" s="279"/>
      <c r="F55" s="279"/>
      <c r="G55" s="279"/>
      <c r="H55" s="279"/>
      <c r="K55" s="279"/>
      <c r="L55" s="279"/>
      <c r="O55" s="279"/>
      <c r="P55" s="471"/>
      <c r="AD55" s="930"/>
      <c r="AE55" s="930"/>
      <c r="AF55" s="930"/>
      <c r="AG55" s="930"/>
      <c r="AH55" s="930"/>
      <c r="AI55" s="930"/>
      <c r="AJ55" s="930"/>
      <c r="AK55" s="930"/>
      <c r="AL55" s="930"/>
      <c r="AM55" s="930"/>
      <c r="AN55" s="930"/>
      <c r="AO55" s="930"/>
      <c r="AP55" s="930"/>
      <c r="AQ55" s="930"/>
      <c r="AR55" s="930"/>
      <c r="AS55" s="930"/>
      <c r="AT55" s="930"/>
      <c r="AU55" s="930"/>
      <c r="AV55" s="930"/>
      <c r="AW55" s="930"/>
      <c r="AX55" s="930"/>
      <c r="AY55" s="930"/>
      <c r="AZ55" s="930"/>
      <c r="BA55" s="930"/>
      <c r="BB55" s="930"/>
      <c r="BC55" s="930"/>
      <c r="BD55" s="930"/>
    </row>
    <row r="56" spans="1:56" ht="51.75" customHeight="1" x14ac:dyDescent="0.2">
      <c r="A56" s="2269" t="s">
        <v>26</v>
      </c>
      <c r="B56" s="2269"/>
      <c r="C56" s="2269"/>
      <c r="D56" s="999">
        <v>0</v>
      </c>
      <c r="E56" s="998"/>
      <c r="F56" s="998"/>
      <c r="G56" s="2292"/>
      <c r="H56" s="2292"/>
      <c r="I56" s="16"/>
      <c r="J56" s="16"/>
      <c r="AD56" s="930"/>
      <c r="AE56" s="930"/>
      <c r="AF56" s="930"/>
      <c r="AG56" s="930"/>
      <c r="AH56" s="930"/>
      <c r="AI56" s="930"/>
      <c r="AJ56" s="930"/>
      <c r="AK56" s="930"/>
      <c r="AL56" s="930"/>
      <c r="AM56" s="930"/>
      <c r="AN56" s="930"/>
      <c r="AO56" s="930"/>
      <c r="AP56" s="930"/>
      <c r="AQ56" s="930"/>
      <c r="AR56" s="930"/>
      <c r="AS56" s="930"/>
      <c r="AT56" s="930"/>
      <c r="AU56" s="930"/>
      <c r="AV56" s="930"/>
      <c r="AW56" s="930"/>
      <c r="AX56" s="930"/>
      <c r="AY56" s="930"/>
      <c r="AZ56" s="930"/>
      <c r="BA56" s="930"/>
      <c r="BB56" s="930"/>
      <c r="BC56" s="930"/>
      <c r="BD56" s="930"/>
    </row>
    <row r="57" spans="1:56" x14ac:dyDescent="0.2">
      <c r="A57" s="996"/>
      <c r="B57" s="996"/>
      <c r="C57" s="996"/>
      <c r="E57" s="997"/>
      <c r="F57" s="997"/>
      <c r="G57" s="2293"/>
      <c r="H57" s="2293"/>
      <c r="J57" s="16"/>
      <c r="K57" s="16"/>
      <c r="L57" s="16"/>
      <c r="M57" s="16"/>
      <c r="AD57" s="930"/>
      <c r="AE57" s="930"/>
      <c r="AF57" s="930"/>
      <c r="AG57" s="930"/>
      <c r="AH57" s="930"/>
      <c r="AI57" s="930"/>
      <c r="AJ57" s="930"/>
      <c r="AK57" s="930"/>
      <c r="AL57" s="930"/>
      <c r="AM57" s="930"/>
      <c r="AN57" s="930"/>
      <c r="AO57" s="930"/>
      <c r="AP57" s="930"/>
      <c r="AQ57" s="930"/>
      <c r="AR57" s="930"/>
      <c r="AS57" s="930"/>
      <c r="AT57" s="930"/>
      <c r="AU57" s="930"/>
      <c r="AV57" s="930"/>
      <c r="AW57" s="930"/>
      <c r="AX57" s="930"/>
      <c r="AY57" s="930"/>
      <c r="AZ57" s="930"/>
      <c r="BA57" s="930"/>
      <c r="BB57" s="930"/>
      <c r="BC57" s="930"/>
      <c r="BD57" s="930"/>
    </row>
    <row r="58" spans="1:56" ht="30" customHeight="1" x14ac:dyDescent="0.2">
      <c r="J58" s="16"/>
      <c r="K58" s="16"/>
      <c r="L58" s="16"/>
      <c r="M58" s="16"/>
      <c r="AD58" s="930"/>
      <c r="AE58" s="930"/>
      <c r="AF58" s="930"/>
      <c r="AG58" s="930"/>
      <c r="AH58" s="930"/>
      <c r="AI58" s="930"/>
      <c r="AJ58" s="930"/>
      <c r="AK58" s="930"/>
      <c r="AL58" s="930"/>
      <c r="AM58" s="930"/>
      <c r="AN58" s="930"/>
      <c r="AO58" s="930"/>
      <c r="AP58" s="930"/>
      <c r="AQ58" s="930"/>
      <c r="AR58" s="930"/>
      <c r="AS58" s="930"/>
      <c r="AT58" s="930"/>
      <c r="AU58" s="930"/>
      <c r="AV58" s="930"/>
      <c r="AW58" s="930"/>
      <c r="AX58" s="930"/>
      <c r="AY58" s="930"/>
      <c r="AZ58" s="930"/>
      <c r="BA58" s="930"/>
      <c r="BB58" s="930"/>
      <c r="BC58" s="930"/>
      <c r="BD58" s="930"/>
    </row>
    <row r="59" spans="1:56" x14ac:dyDescent="0.2">
      <c r="H59" s="16"/>
      <c r="J59" s="16"/>
      <c r="K59" s="299"/>
      <c r="L59" s="286"/>
      <c r="M59" s="286"/>
      <c r="AD59" s="930"/>
      <c r="AE59" s="930"/>
      <c r="AF59" s="930"/>
      <c r="AG59" s="930"/>
      <c r="AH59" s="930"/>
      <c r="AI59" s="930"/>
      <c r="AJ59" s="930"/>
      <c r="AK59" s="930"/>
      <c r="AL59" s="930"/>
      <c r="AM59" s="930"/>
      <c r="AN59" s="930"/>
      <c r="AO59" s="930"/>
      <c r="AP59" s="930"/>
      <c r="AQ59" s="930"/>
      <c r="AR59" s="930"/>
      <c r="AS59" s="930"/>
      <c r="AT59" s="930"/>
      <c r="AU59" s="930"/>
      <c r="AV59" s="930"/>
      <c r="AW59" s="930"/>
      <c r="AX59" s="930"/>
      <c r="AY59" s="930"/>
      <c r="AZ59" s="930"/>
      <c r="BA59" s="930"/>
      <c r="BB59" s="930"/>
      <c r="BC59" s="930"/>
      <c r="BD59" s="930"/>
    </row>
    <row r="60" spans="1:56" ht="30" customHeight="1" x14ac:dyDescent="0.2">
      <c r="I60" s="299"/>
      <c r="J60" s="299"/>
      <c r="K60" s="299"/>
      <c r="L60" s="286"/>
      <c r="M60" s="286"/>
    </row>
    <row r="61" spans="1:56" x14ac:dyDescent="0.2">
      <c r="I61" s="299"/>
      <c r="J61" s="299"/>
      <c r="K61" s="299"/>
      <c r="L61" s="16"/>
      <c r="M61" s="16"/>
    </row>
    <row r="62" spans="1:56" ht="30" customHeight="1" x14ac:dyDescent="0.2">
      <c r="I62" s="299"/>
      <c r="J62" s="299"/>
      <c r="K62" s="299"/>
      <c r="L62" s="303"/>
      <c r="M62" s="286"/>
      <c r="U62" s="1013"/>
      <c r="V62" s="46"/>
      <c r="W62" s="46"/>
      <c r="X62" s="46"/>
      <c r="Y62" s="46"/>
      <c r="Z62" s="46"/>
      <c r="AA62" s="46"/>
      <c r="AB62" s="46"/>
      <c r="AC62" s="46"/>
      <c r="AD62" s="46"/>
      <c r="AE62" s="1924"/>
      <c r="AF62" s="1924"/>
      <c r="AG62" s="1924"/>
      <c r="AH62" s="1924"/>
      <c r="AI62" s="1924"/>
      <c r="AJ62" s="1924"/>
      <c r="AK62" s="1924"/>
      <c r="AL62" s="1924"/>
      <c r="AM62" s="1924"/>
      <c r="AN62" s="1924"/>
    </row>
    <row r="63" spans="1:56" ht="30" customHeight="1" x14ac:dyDescent="0.2">
      <c r="H63" s="299"/>
      <c r="I63" s="299"/>
      <c r="J63" s="299"/>
      <c r="K63" s="299"/>
      <c r="L63" s="303"/>
      <c r="M63" s="347"/>
      <c r="U63" s="1013"/>
      <c r="V63" s="288"/>
      <c r="W63" s="288"/>
      <c r="X63" s="288"/>
      <c r="Y63" s="288"/>
      <c r="Z63" s="288"/>
      <c r="AA63" s="288"/>
      <c r="AB63" s="288"/>
      <c r="AC63" s="288"/>
      <c r="AD63" s="288"/>
      <c r="AE63" s="1924"/>
      <c r="AF63" s="1924"/>
      <c r="AG63" s="1924"/>
      <c r="AH63" s="1924"/>
      <c r="AI63" s="1924"/>
      <c r="AJ63" s="1924"/>
      <c r="AK63" s="1924"/>
      <c r="AL63" s="1924"/>
      <c r="AM63" s="1924"/>
      <c r="AN63" s="1924"/>
    </row>
    <row r="64" spans="1:56" ht="20.25" customHeight="1" x14ac:dyDescent="0.2">
      <c r="I64" s="299"/>
      <c r="J64" s="299"/>
      <c r="K64" s="299"/>
      <c r="L64" s="304"/>
      <c r="M64" s="347"/>
      <c r="U64" s="1013"/>
      <c r="V64" s="288"/>
      <c r="W64" s="288"/>
      <c r="X64" s="288"/>
      <c r="Y64" s="288"/>
      <c r="Z64" s="288"/>
      <c r="AA64" s="288"/>
      <c r="AB64" s="288"/>
      <c r="AC64" s="288"/>
      <c r="AD64" s="288"/>
      <c r="AE64" s="2097"/>
      <c r="AF64" s="2097"/>
      <c r="AG64" s="2030"/>
      <c r="AH64" s="2030"/>
      <c r="AI64" s="2030"/>
      <c r="AJ64" s="2030"/>
      <c r="AK64" s="2030"/>
      <c r="AL64" s="2098"/>
      <c r="AM64" s="2098"/>
      <c r="AN64" s="2098"/>
    </row>
    <row r="65" spans="8:40" ht="20.25" x14ac:dyDescent="0.2">
      <c r="H65" s="299"/>
      <c r="I65" s="299"/>
      <c r="J65" s="299"/>
      <c r="K65" s="374"/>
      <c r="L65" s="304"/>
      <c r="U65" s="1013"/>
      <c r="V65" s="288"/>
      <c r="W65" s="288"/>
      <c r="X65" s="288"/>
      <c r="Y65" s="288"/>
      <c r="Z65" s="288"/>
      <c r="AA65" s="288"/>
      <c r="AB65" s="288"/>
      <c r="AC65" s="288"/>
      <c r="AD65" s="288"/>
      <c r="AE65" s="2097"/>
      <c r="AF65" s="2097"/>
      <c r="AG65" s="2030"/>
      <c r="AH65" s="2030"/>
      <c r="AI65" s="2030"/>
      <c r="AJ65" s="2030"/>
      <c r="AK65" s="2030"/>
      <c r="AL65" s="2098"/>
      <c r="AM65" s="2098"/>
      <c r="AN65" s="2098"/>
    </row>
    <row r="66" spans="8:40" ht="20.25" customHeight="1" x14ac:dyDescent="0.2">
      <c r="I66" s="374"/>
      <c r="J66" s="374"/>
      <c r="K66" s="374"/>
      <c r="L66" s="305"/>
      <c r="M66" s="286"/>
      <c r="U66" s="1013"/>
      <c r="V66" s="288"/>
      <c r="W66" s="288"/>
      <c r="X66" s="288"/>
      <c r="Y66" s="288"/>
      <c r="Z66" s="288"/>
      <c r="AA66" s="288"/>
      <c r="AB66" s="288"/>
      <c r="AC66" s="288"/>
      <c r="AD66" s="288"/>
      <c r="AE66" s="2097"/>
      <c r="AF66" s="2097"/>
      <c r="AG66" s="2030"/>
      <c r="AH66" s="2030"/>
      <c r="AI66" s="2030"/>
      <c r="AJ66" s="2030"/>
      <c r="AK66" s="2030"/>
      <c r="AL66" s="2098"/>
      <c r="AM66" s="2098"/>
      <c r="AN66" s="2098"/>
    </row>
    <row r="67" spans="8:40" ht="30" customHeight="1" x14ac:dyDescent="0.2">
      <c r="H67" s="374"/>
      <c r="I67" s="374"/>
      <c r="J67" s="374"/>
      <c r="U67" s="1013"/>
      <c r="V67" s="288"/>
      <c r="W67" s="288"/>
      <c r="X67" s="288"/>
      <c r="Y67" s="288"/>
      <c r="Z67" s="288"/>
      <c r="AA67" s="288"/>
      <c r="AB67" s="288"/>
      <c r="AC67" s="288"/>
      <c r="AD67" s="288"/>
      <c r="AE67" s="2097"/>
      <c r="AF67" s="2097"/>
      <c r="AG67" s="2030"/>
      <c r="AH67" s="2030"/>
      <c r="AI67" s="2030"/>
      <c r="AJ67" s="2030"/>
      <c r="AK67" s="2030"/>
      <c r="AL67" s="2098"/>
      <c r="AM67" s="2098"/>
      <c r="AN67" s="2098"/>
    </row>
    <row r="68" spans="8:40" ht="30" customHeight="1" x14ac:dyDescent="0.2">
      <c r="U68" s="1013"/>
      <c r="V68" s="288"/>
      <c r="W68" s="288"/>
      <c r="X68" s="288"/>
      <c r="Y68" s="288"/>
      <c r="Z68" s="288"/>
      <c r="AA68" s="288"/>
      <c r="AB68" s="288"/>
      <c r="AC68" s="288"/>
      <c r="AD68" s="288"/>
      <c r="AE68" s="2097"/>
      <c r="AF68" s="2097"/>
      <c r="AG68" s="2030"/>
      <c r="AH68" s="2030"/>
      <c r="AI68" s="2030"/>
      <c r="AJ68" s="2030"/>
      <c r="AK68" s="2030"/>
      <c r="AL68" s="2098"/>
      <c r="AM68" s="2098"/>
      <c r="AN68" s="2098"/>
    </row>
    <row r="69" spans="8:40" ht="30" customHeight="1" x14ac:dyDescent="0.2">
      <c r="U69" s="1013"/>
      <c r="V69" s="288"/>
      <c r="W69" s="288"/>
      <c r="X69" s="288"/>
      <c r="Y69" s="288"/>
      <c r="Z69" s="288"/>
      <c r="AA69" s="288"/>
      <c r="AB69" s="288"/>
      <c r="AC69" s="288"/>
      <c r="AD69" s="288"/>
    </row>
    <row r="70" spans="8:40" ht="30" customHeight="1" x14ac:dyDescent="0.2">
      <c r="U70" s="1013"/>
      <c r="V70" s="288"/>
      <c r="W70" s="288"/>
      <c r="X70" s="288"/>
      <c r="Y70" s="288"/>
      <c r="Z70" s="288"/>
      <c r="AA70" s="288"/>
      <c r="AB70" s="288"/>
      <c r="AC70" s="288"/>
      <c r="AD70" s="288"/>
    </row>
    <row r="71" spans="8:40" ht="30" customHeight="1" x14ac:dyDescent="0.2">
      <c r="U71" s="1013"/>
      <c r="V71" s="288"/>
      <c r="W71" s="288"/>
      <c r="X71" s="288"/>
      <c r="Y71" s="288"/>
      <c r="Z71" s="288"/>
      <c r="AA71" s="288"/>
      <c r="AB71" s="288"/>
      <c r="AC71" s="288"/>
      <c r="AD71" s="288"/>
    </row>
  </sheetData>
  <mergeCells count="80">
    <mergeCell ref="W45:W46"/>
    <mergeCell ref="V44:W44"/>
    <mergeCell ref="A43:B50"/>
    <mergeCell ref="I43:J46"/>
    <mergeCell ref="K43:K46"/>
    <mergeCell ref="L44:L46"/>
    <mergeCell ref="V45:V46"/>
    <mergeCell ref="D49:D50"/>
    <mergeCell ref="G45:G46"/>
    <mergeCell ref="F45:F46"/>
    <mergeCell ref="E43:E46"/>
    <mergeCell ref="D43:D46"/>
    <mergeCell ref="D47:D48"/>
    <mergeCell ref="N44:S48"/>
    <mergeCell ref="Q50:S51"/>
    <mergeCell ref="U2:AC2"/>
    <mergeCell ref="L22:M22"/>
    <mergeCell ref="C2:N2"/>
    <mergeCell ref="F43:G43"/>
    <mergeCell ref="F44:G44"/>
    <mergeCell ref="D24:D26"/>
    <mergeCell ref="E3:E4"/>
    <mergeCell ref="D35:D36"/>
    <mergeCell ref="E35:E36"/>
    <mergeCell ref="K22:K23"/>
    <mergeCell ref="E22:E23"/>
    <mergeCell ref="D28:D29"/>
    <mergeCell ref="E28:E29"/>
    <mergeCell ref="F28:K28"/>
    <mergeCell ref="L3:M3"/>
    <mergeCell ref="L15:S15"/>
    <mergeCell ref="D15:D16"/>
    <mergeCell ref="A3:B6"/>
    <mergeCell ref="A7:B19"/>
    <mergeCell ref="A22:B25"/>
    <mergeCell ref="A26:B40"/>
    <mergeCell ref="D37:D40"/>
    <mergeCell ref="D30:D33"/>
    <mergeCell ref="D3:D4"/>
    <mergeCell ref="D9:D10"/>
    <mergeCell ref="D5:D7"/>
    <mergeCell ref="D11:D13"/>
    <mergeCell ref="D22:D23"/>
    <mergeCell ref="D17:D19"/>
    <mergeCell ref="E9:E10"/>
    <mergeCell ref="I47:J48"/>
    <mergeCell ref="F35:K35"/>
    <mergeCell ref="G56:H56"/>
    <mergeCell ref="G57:H57"/>
    <mergeCell ref="E15:E16"/>
    <mergeCell ref="A56:C56"/>
    <mergeCell ref="I22:J23"/>
    <mergeCell ref="I24:J26"/>
    <mergeCell ref="O3:S3"/>
    <mergeCell ref="O4:S6"/>
    <mergeCell ref="L16:S19"/>
    <mergeCell ref="F3:G3"/>
    <mergeCell ref="I3:J4"/>
    <mergeCell ref="I5:J6"/>
    <mergeCell ref="F15:K15"/>
    <mergeCell ref="F9:K9"/>
    <mergeCell ref="N50:P51"/>
    <mergeCell ref="L50:M51"/>
    <mergeCell ref="K3:K4"/>
    <mergeCell ref="J53:S53"/>
    <mergeCell ref="A53:I53"/>
    <mergeCell ref="AL62:AN63"/>
    <mergeCell ref="AE64:AF68"/>
    <mergeCell ref="AG64:AK68"/>
    <mergeCell ref="AL64:AN68"/>
    <mergeCell ref="AE62:AK63"/>
    <mergeCell ref="O9:S9"/>
    <mergeCell ref="O28:S28"/>
    <mergeCell ref="L35:S35"/>
    <mergeCell ref="L36:S40"/>
    <mergeCell ref="N43:S43"/>
    <mergeCell ref="O22:S22"/>
    <mergeCell ref="O23:S26"/>
    <mergeCell ref="O29:S33"/>
    <mergeCell ref="O10:S13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37" orientation="landscape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1DD5-E548-4AAB-A55E-4C2DE83925CC}">
  <sheetPr>
    <tabColor rgb="FFC00000"/>
    <pageSetUpPr fitToPage="1"/>
  </sheetPr>
  <dimension ref="A1:W94"/>
  <sheetViews>
    <sheetView showGridLines="0" zoomScale="55" zoomScaleNormal="55" zoomScaleSheetLayoutView="55" zoomScalePageLayoutView="25" workbookViewId="0">
      <selection activeCell="I2" sqref="I2"/>
    </sheetView>
  </sheetViews>
  <sheetFormatPr defaultRowHeight="18" x14ac:dyDescent="0.25"/>
  <cols>
    <col min="1" max="1" width="50.7109375" style="1" customWidth="1"/>
    <col min="2" max="2" width="30.7109375" style="1" customWidth="1"/>
    <col min="3" max="3" width="20.7109375" style="1" customWidth="1"/>
    <col min="4" max="4" width="18.7109375" style="1" customWidth="1"/>
    <col min="5" max="5" width="20.7109375" style="1" customWidth="1"/>
    <col min="6" max="7" width="25.7109375" style="1" customWidth="1"/>
    <col min="8" max="9" width="30.7109375" style="1" customWidth="1"/>
    <col min="10" max="10" width="15.7109375" style="4" hidden="1" customWidth="1"/>
    <col min="11" max="11" width="18.7109375" style="4" hidden="1" customWidth="1"/>
    <col min="12" max="13" width="16.42578125" style="1" customWidth="1"/>
    <col min="14" max="14" width="10.28515625" style="1" bestFit="1" customWidth="1"/>
    <col min="15" max="15" width="12.85546875" style="1" bestFit="1" customWidth="1"/>
    <col min="16" max="17" width="10.42578125" style="1" customWidth="1"/>
    <col min="18" max="18" width="9.140625" style="1"/>
    <col min="19" max="20" width="11.28515625" style="2" customWidth="1"/>
    <col min="21" max="16384" width="9.140625" style="1"/>
  </cols>
  <sheetData>
    <row r="1" spans="1:20" ht="75.75" customHeight="1" x14ac:dyDescent="0.4">
      <c r="B1" s="89"/>
      <c r="C1" s="89"/>
      <c r="D1" s="1925" t="s">
        <v>657</v>
      </c>
      <c r="E1" s="1925"/>
      <c r="F1" s="1925"/>
      <c r="G1" s="767"/>
      <c r="H1" s="89"/>
    </row>
    <row r="2" spans="1:20" customFormat="1" ht="33" customHeight="1" x14ac:dyDescent="0.4">
      <c r="A2" s="23"/>
      <c r="B2" s="23"/>
      <c r="C2" s="1"/>
      <c r="D2" s="1925"/>
      <c r="E2" s="1925"/>
      <c r="F2" s="1925"/>
      <c r="G2" s="767"/>
      <c r="H2" s="92" t="s">
        <v>132</v>
      </c>
      <c r="I2" s="348">
        <f>'Панельные ограждения GL (стр.1)'!N2</f>
        <v>46197</v>
      </c>
      <c r="J2" s="837"/>
      <c r="K2" s="4"/>
      <c r="S2" s="2"/>
      <c r="T2" s="2"/>
    </row>
    <row r="3" spans="1:20" customFormat="1" ht="35.1" customHeight="1" x14ac:dyDescent="0.25">
      <c r="A3" s="2333" t="s">
        <v>666</v>
      </c>
      <c r="B3" s="2333"/>
      <c r="C3" s="2333"/>
      <c r="D3" s="2333"/>
      <c r="E3" s="2333"/>
      <c r="F3" s="2333"/>
      <c r="G3" s="2333"/>
      <c r="H3" s="2333"/>
      <c r="I3" s="2333"/>
      <c r="J3" s="837"/>
      <c r="K3" s="4"/>
      <c r="S3" s="2"/>
      <c r="T3" s="2"/>
    </row>
    <row r="4" spans="1:20" customFormat="1" ht="30" customHeight="1" x14ac:dyDescent="0.3">
      <c r="A4" s="2071" t="s">
        <v>20</v>
      </c>
      <c r="B4" s="2072"/>
      <c r="C4" s="2072"/>
      <c r="D4" s="2072"/>
      <c r="E4" s="2072"/>
      <c r="F4" s="2072"/>
      <c r="G4" s="2073"/>
      <c r="H4" s="1493" t="s">
        <v>17</v>
      </c>
      <c r="I4" s="1495"/>
      <c r="J4" s="4"/>
      <c r="K4" s="4"/>
      <c r="L4" s="1"/>
      <c r="M4" s="1"/>
      <c r="N4" s="5"/>
      <c r="O4" s="5"/>
      <c r="P4" s="5"/>
      <c r="Q4" s="5"/>
      <c r="S4" s="2"/>
      <c r="T4" s="2"/>
    </row>
    <row r="5" spans="1:20" customFormat="1" ht="39.950000000000003" customHeight="1" x14ac:dyDescent="0.3">
      <c r="A5" s="2336" t="s">
        <v>851</v>
      </c>
      <c r="B5" s="2337"/>
      <c r="C5" s="2337" t="s">
        <v>1367</v>
      </c>
      <c r="D5" s="2337"/>
      <c r="E5" s="2337"/>
      <c r="F5" s="2340" t="s">
        <v>1371</v>
      </c>
      <c r="G5" s="2341"/>
      <c r="H5" s="820" t="s">
        <v>655</v>
      </c>
      <c r="I5" s="829" t="s">
        <v>656</v>
      </c>
      <c r="J5" s="4"/>
      <c r="K5" s="4"/>
      <c r="L5" s="1"/>
      <c r="M5" s="1"/>
      <c r="N5" s="1"/>
      <c r="O5" s="1"/>
      <c r="P5" s="15"/>
      <c r="Q5" s="5"/>
      <c r="S5" s="2"/>
      <c r="T5" s="2"/>
    </row>
    <row r="6" spans="1:20" customFormat="1" ht="75" customHeight="1" x14ac:dyDescent="0.2">
      <c r="A6" s="2338"/>
      <c r="B6" s="2339"/>
      <c r="C6" s="2339"/>
      <c r="D6" s="2339"/>
      <c r="E6" s="2339"/>
      <c r="F6" s="2342"/>
      <c r="G6" s="2343"/>
      <c r="H6" s="827">
        <f>ROUND(J6*BelarusV*(1-$B$52),2)</f>
        <v>61299</v>
      </c>
      <c r="I6" s="825">
        <f>ROUND(K6*BelarusV*(1-$B$52),2)</f>
        <v>103709</v>
      </c>
      <c r="J6" s="838">
        <v>61299</v>
      </c>
      <c r="K6" s="838">
        <v>103709</v>
      </c>
      <c r="L6" s="1"/>
      <c r="M6" s="1"/>
      <c r="N6" s="1"/>
      <c r="O6" s="1"/>
      <c r="P6" s="15"/>
      <c r="Q6" s="1"/>
      <c r="S6" s="2"/>
      <c r="T6" s="2"/>
    </row>
    <row r="7" spans="1:20" customFormat="1" ht="99.95" customHeight="1" x14ac:dyDescent="0.3">
      <c r="A7" s="2356" t="s">
        <v>1364</v>
      </c>
      <c r="B7" s="2357"/>
      <c r="C7" s="2357" t="s">
        <v>1366</v>
      </c>
      <c r="D7" s="2357"/>
      <c r="E7" s="2357"/>
      <c r="F7" s="2370" t="s">
        <v>1368</v>
      </c>
      <c r="G7" s="2371"/>
      <c r="H7" s="827">
        <f>ROUND(J7*BelarusV*(1-$B$52),2)</f>
        <v>56758</v>
      </c>
      <c r="I7" s="825">
        <f>ROUND(K7*BelarusV*(1-$B$52),2)</f>
        <v>95340</v>
      </c>
      <c r="J7" s="838">
        <v>56758</v>
      </c>
      <c r="K7" s="838">
        <v>95340</v>
      </c>
      <c r="L7" s="1"/>
      <c r="M7" s="1"/>
      <c r="N7" s="1"/>
      <c r="O7" s="1"/>
      <c r="P7" s="15"/>
      <c r="Q7" s="1"/>
      <c r="S7" s="2"/>
      <c r="T7" s="2"/>
    </row>
    <row r="8" spans="1:20" s="294" customFormat="1" ht="24.95" customHeight="1" x14ac:dyDescent="0.3">
      <c r="A8" s="2334" t="s">
        <v>852</v>
      </c>
      <c r="B8" s="2335"/>
      <c r="C8" s="2335"/>
      <c r="D8" s="2335"/>
      <c r="E8" s="2335"/>
      <c r="F8" s="2335"/>
      <c r="G8" s="2335"/>
      <c r="H8" s="864"/>
      <c r="I8" s="865"/>
      <c r="J8" s="866"/>
      <c r="K8" s="866"/>
      <c r="L8" s="867"/>
      <c r="M8" s="867"/>
      <c r="N8" s="867"/>
      <c r="O8" s="867"/>
      <c r="P8" s="283"/>
      <c r="Q8" s="867"/>
      <c r="S8" s="868"/>
      <c r="T8" s="868"/>
    </row>
    <row r="9" spans="1:20" customFormat="1" ht="69.95" customHeight="1" x14ac:dyDescent="0.3">
      <c r="A9" s="2372" t="s">
        <v>736</v>
      </c>
      <c r="B9" s="2373"/>
      <c r="C9" s="2373" t="s">
        <v>737</v>
      </c>
      <c r="D9" s="2373"/>
      <c r="E9" s="2373"/>
      <c r="F9" s="2373"/>
      <c r="G9" s="2374"/>
      <c r="H9" s="818">
        <f>ROUND(J9*BelarusV*(1-$B$52),2)</f>
        <v>26726</v>
      </c>
      <c r="I9" s="818">
        <f>ROUND(K9*BelarusV*(1-$B$52),2)</f>
        <v>32666</v>
      </c>
      <c r="J9" s="838">
        <v>26726</v>
      </c>
      <c r="K9" s="838">
        <v>32666</v>
      </c>
      <c r="L9" s="1"/>
      <c r="M9" s="1"/>
      <c r="N9" s="1"/>
      <c r="O9" s="1"/>
      <c r="P9" s="5"/>
      <c r="Q9" s="1"/>
      <c r="S9" s="2"/>
      <c r="T9" s="2"/>
    </row>
    <row r="10" spans="1:20" customFormat="1" ht="15" customHeight="1" x14ac:dyDescent="0.25">
      <c r="A10" s="832"/>
      <c r="B10" s="836"/>
      <c r="C10" s="835"/>
      <c r="D10" s="835"/>
      <c r="E10" s="835"/>
      <c r="F10" s="835"/>
      <c r="G10" s="835"/>
      <c r="H10" s="830"/>
      <c r="I10" s="1"/>
      <c r="J10" s="4"/>
      <c r="K10" s="4"/>
      <c r="L10" s="1"/>
      <c r="M10" s="1"/>
      <c r="N10" s="1"/>
      <c r="S10" s="2"/>
      <c r="T10" s="2"/>
    </row>
    <row r="11" spans="1:20" customFormat="1" ht="30" customHeight="1" x14ac:dyDescent="0.25">
      <c r="A11" s="1430" t="s">
        <v>244</v>
      </c>
      <c r="B11" s="1430"/>
      <c r="C11" s="1430"/>
      <c r="D11" s="1430"/>
      <c r="E11" s="1430"/>
      <c r="F11" s="1430"/>
      <c r="G11" s="1430"/>
      <c r="H11" s="1430"/>
      <c r="I11" s="819" t="s">
        <v>17</v>
      </c>
      <c r="J11" s="839"/>
      <c r="K11" s="4"/>
      <c r="S11" s="2"/>
      <c r="T11" s="2"/>
    </row>
    <row r="12" spans="1:20" customFormat="1" ht="69.95" customHeight="1" x14ac:dyDescent="0.25">
      <c r="A12" s="833"/>
      <c r="B12" s="2320" t="s">
        <v>245</v>
      </c>
      <c r="C12" s="2320"/>
      <c r="D12" s="2320"/>
      <c r="E12" s="2090" t="s">
        <v>654</v>
      </c>
      <c r="F12" s="2090"/>
      <c r="G12" s="2090"/>
      <c r="H12" s="484" t="s">
        <v>247</v>
      </c>
      <c r="I12" s="818">
        <f>ROUND(J12*BelarusV*(1-$B$52),2)</f>
        <v>2512</v>
      </c>
      <c r="J12" s="840">
        <v>2512</v>
      </c>
      <c r="K12" s="4"/>
      <c r="S12" s="2"/>
      <c r="T12" s="2"/>
    </row>
    <row r="13" spans="1:20" customFormat="1" ht="69.95" customHeight="1" x14ac:dyDescent="0.25">
      <c r="A13" s="833"/>
      <c r="B13" s="2320" t="s">
        <v>246</v>
      </c>
      <c r="C13" s="2320"/>
      <c r="D13" s="2320"/>
      <c r="E13" s="2090" t="s">
        <v>653</v>
      </c>
      <c r="F13" s="2090"/>
      <c r="G13" s="2090"/>
      <c r="H13" s="484" t="s">
        <v>248</v>
      </c>
      <c r="I13" s="818">
        <f>ROUND(J13*BelarusV*(1-$B$52),2)</f>
        <v>889</v>
      </c>
      <c r="J13" s="840">
        <v>889</v>
      </c>
      <c r="K13" s="4"/>
      <c r="S13" s="2"/>
      <c r="T13" s="2"/>
    </row>
    <row r="14" spans="1:20" customFormat="1" ht="15" customHeight="1" x14ac:dyDescent="0.25">
      <c r="A14" s="831"/>
      <c r="B14" s="824"/>
      <c r="C14" s="824"/>
      <c r="D14" s="824"/>
      <c r="E14" s="423"/>
      <c r="F14" s="423"/>
      <c r="G14" s="423"/>
      <c r="H14" s="834"/>
      <c r="I14" s="823"/>
      <c r="J14" s="840"/>
      <c r="K14" s="4"/>
      <c r="S14" s="2"/>
      <c r="T14" s="2"/>
    </row>
    <row r="15" spans="1:20" customFormat="1" ht="30" customHeight="1" x14ac:dyDescent="0.25">
      <c r="A15" s="1687" t="s">
        <v>71</v>
      </c>
      <c r="B15" s="1687"/>
      <c r="C15" s="1687"/>
      <c r="D15" s="1687"/>
      <c r="E15" s="2330" t="s">
        <v>111</v>
      </c>
      <c r="F15" s="2331"/>
      <c r="G15" s="2332"/>
      <c r="H15" s="850" t="s">
        <v>125</v>
      </c>
      <c r="I15" s="819" t="s">
        <v>17</v>
      </c>
      <c r="J15" s="840"/>
      <c r="K15" s="4"/>
      <c r="S15" s="2"/>
      <c r="T15" s="2"/>
    </row>
    <row r="16" spans="1:20" customFormat="1" ht="60" customHeight="1" x14ac:dyDescent="0.25">
      <c r="A16" s="2325"/>
      <c r="B16" s="2321" t="s">
        <v>738</v>
      </c>
      <c r="C16" s="2322"/>
      <c r="D16" s="2323"/>
      <c r="E16" s="2328" t="s">
        <v>661</v>
      </c>
      <c r="F16" s="2328"/>
      <c r="G16" s="2328"/>
      <c r="H16" s="847" t="s">
        <v>664</v>
      </c>
      <c r="I16" s="818">
        <f>ROUND(J16*BelarusV*(1-$B$52),2)</f>
        <v>683</v>
      </c>
      <c r="J16" s="840">
        <v>683</v>
      </c>
      <c r="K16" s="4"/>
      <c r="S16" s="2"/>
      <c r="T16" s="2"/>
    </row>
    <row r="17" spans="1:23" customFormat="1" ht="90" customHeight="1" x14ac:dyDescent="0.25">
      <c r="A17" s="2326"/>
      <c r="B17" s="2321" t="s">
        <v>722</v>
      </c>
      <c r="C17" s="2322"/>
      <c r="D17" s="2323"/>
      <c r="E17" s="2324" t="s">
        <v>662</v>
      </c>
      <c r="F17" s="2082"/>
      <c r="G17" s="2082"/>
      <c r="H17" s="834" t="s">
        <v>129</v>
      </c>
      <c r="I17" s="818">
        <f>ROUND(J17*BelarusV_LFpe*(1-$B$52),2)</f>
        <v>2373</v>
      </c>
      <c r="J17" s="840">
        <v>2373</v>
      </c>
      <c r="K17" s="4"/>
      <c r="S17" s="2"/>
      <c r="T17" s="2"/>
    </row>
    <row r="18" spans="1:23" customFormat="1" ht="90" customHeight="1" x14ac:dyDescent="0.25">
      <c r="A18" s="2327"/>
      <c r="B18" s="2329" t="s">
        <v>857</v>
      </c>
      <c r="C18" s="2329"/>
      <c r="D18" s="2329"/>
      <c r="E18" s="2375" t="s">
        <v>782</v>
      </c>
      <c r="F18" s="2376"/>
      <c r="G18" s="2324"/>
      <c r="H18" s="484" t="s">
        <v>783</v>
      </c>
      <c r="I18" s="818">
        <f>ROUND(J18*BelarusV_LFpe*(1-$B$52),2)</f>
        <v>730</v>
      </c>
      <c r="J18" s="840">
        <v>730</v>
      </c>
      <c r="K18" s="4"/>
      <c r="S18" s="2"/>
      <c r="T18" s="2"/>
    </row>
    <row r="19" spans="1:23" customFormat="1" ht="15" customHeight="1" x14ac:dyDescent="0.25">
      <c r="A19" s="831"/>
      <c r="B19" s="824"/>
      <c r="C19" s="824"/>
      <c r="D19" s="824"/>
      <c r="E19" s="423"/>
      <c r="F19" s="423"/>
      <c r="G19" s="423"/>
      <c r="H19" s="834"/>
      <c r="I19" s="823"/>
      <c r="J19" s="840"/>
      <c r="K19" s="4"/>
      <c r="S19" s="2"/>
      <c r="T19" s="2"/>
    </row>
    <row r="20" spans="1:23" customFormat="1" ht="35.1" customHeight="1" x14ac:dyDescent="0.25">
      <c r="A20" s="2333" t="s">
        <v>652</v>
      </c>
      <c r="B20" s="2333"/>
      <c r="C20" s="2333"/>
      <c r="D20" s="2333"/>
      <c r="E20" s="2333"/>
      <c r="F20" s="2333"/>
      <c r="G20" s="2333"/>
      <c r="H20" s="2333"/>
      <c r="I20" s="2333"/>
      <c r="J20" s="837"/>
      <c r="K20" s="4"/>
      <c r="S20" s="2"/>
      <c r="T20" s="2"/>
    </row>
    <row r="21" spans="1:23" customFormat="1" ht="50.1" customHeight="1" x14ac:dyDescent="0.25">
      <c r="A21" s="255" t="s">
        <v>273</v>
      </c>
      <c r="B21" s="1493" t="s">
        <v>818</v>
      </c>
      <c r="C21" s="1494"/>
      <c r="D21" s="1494"/>
      <c r="E21" s="1494"/>
      <c r="F21" s="1494"/>
      <c r="G21" s="1494"/>
      <c r="H21" s="1495"/>
      <c r="I21" s="819" t="s">
        <v>17</v>
      </c>
      <c r="J21" s="787"/>
      <c r="K21" s="4"/>
      <c r="S21" s="2"/>
      <c r="T21" s="2"/>
    </row>
    <row r="22" spans="1:23" customFormat="1" ht="69.95" customHeight="1" x14ac:dyDescent="0.3">
      <c r="A22" s="1560" t="s">
        <v>310</v>
      </c>
      <c r="B22" s="810" t="s">
        <v>849</v>
      </c>
      <c r="C22" s="1306" t="s">
        <v>1362</v>
      </c>
      <c r="D22" s="2367"/>
      <c r="E22" s="2367"/>
      <c r="F22" s="2367"/>
      <c r="G22" s="2367"/>
      <c r="H22" s="1300" t="s">
        <v>1369</v>
      </c>
      <c r="I22" s="825">
        <f>ROUND(J22*BelarusV*(1-$B$52),0)</f>
        <v>85155</v>
      </c>
      <c r="J22" s="789">
        <v>85155</v>
      </c>
      <c r="K22" s="600"/>
      <c r="L22" s="349"/>
      <c r="M22" s="349"/>
      <c r="N22" s="354"/>
      <c r="O22" s="410"/>
      <c r="P22" s="410"/>
      <c r="Q22" s="351"/>
      <c r="S22" s="353"/>
      <c r="T22" s="353"/>
      <c r="V22" s="354"/>
      <c r="W22" s="354"/>
    </row>
    <row r="23" spans="1:23" customFormat="1" ht="69.95" customHeight="1" x14ac:dyDescent="0.3">
      <c r="A23" s="1562"/>
      <c r="B23" s="262" t="s">
        <v>850</v>
      </c>
      <c r="C23" s="1306" t="s">
        <v>853</v>
      </c>
      <c r="D23" s="2367"/>
      <c r="E23" s="2367"/>
      <c r="F23" s="2367"/>
      <c r="G23" s="2367"/>
      <c r="H23" s="1300" t="s">
        <v>1363</v>
      </c>
      <c r="I23" s="827">
        <f>ROUND(J23*BelarusV*(1-$B$52),0)</f>
        <v>78724</v>
      </c>
      <c r="J23" s="789">
        <v>78724</v>
      </c>
      <c r="K23" s="349"/>
      <c r="L23" s="349"/>
      <c r="M23" s="382"/>
      <c r="N23" s="354"/>
      <c r="O23" s="410"/>
      <c r="P23" s="410"/>
      <c r="Q23" s="351"/>
      <c r="S23" s="353"/>
      <c r="T23" s="353"/>
      <c r="V23" s="354"/>
      <c r="W23" s="354"/>
    </row>
    <row r="24" spans="1:23" customFormat="1" ht="69.95" customHeight="1" x14ac:dyDescent="0.3">
      <c r="A24" s="1560" t="s">
        <v>274</v>
      </c>
      <c r="B24" s="262" t="s">
        <v>849</v>
      </c>
      <c r="C24" s="2368" t="s">
        <v>734</v>
      </c>
      <c r="D24" s="2369"/>
      <c r="E24" s="2369"/>
      <c r="F24" s="2369"/>
      <c r="G24" s="2369"/>
      <c r="H24" s="1300" t="s">
        <v>1370</v>
      </c>
      <c r="I24" s="827">
        <f>ROUND(J24*BelarusV*(1-$B$52),0)</f>
        <v>108817</v>
      </c>
      <c r="J24" s="789">
        <v>108817</v>
      </c>
      <c r="K24" s="4"/>
      <c r="L24" s="349"/>
      <c r="M24" s="382"/>
      <c r="N24" s="354"/>
      <c r="O24" s="410"/>
      <c r="P24" s="410"/>
      <c r="Q24" s="351"/>
      <c r="S24" s="353"/>
      <c r="T24" s="353"/>
      <c r="V24" s="354"/>
      <c r="W24" s="354"/>
    </row>
    <row r="25" spans="1:23" customFormat="1" ht="69.95" customHeight="1" x14ac:dyDescent="0.3">
      <c r="A25" s="1562"/>
      <c r="B25" s="262" t="s">
        <v>850</v>
      </c>
      <c r="C25" s="1306" t="s">
        <v>854</v>
      </c>
      <c r="D25" s="2367"/>
      <c r="E25" s="2367"/>
      <c r="F25" s="2367"/>
      <c r="G25" s="2367"/>
      <c r="H25" s="1300" t="s">
        <v>1365</v>
      </c>
      <c r="I25" s="827">
        <f>ROUND(J25*BelarusV*(1-$B$52),0)</f>
        <v>121270</v>
      </c>
      <c r="J25" s="789">
        <v>121270</v>
      </c>
      <c r="K25" s="4"/>
      <c r="L25" s="349"/>
      <c r="M25" s="382"/>
      <c r="N25" s="354"/>
      <c r="O25" s="410"/>
      <c r="P25" s="410"/>
      <c r="Q25" s="351"/>
      <c r="S25" s="353"/>
      <c r="T25" s="353"/>
      <c r="V25" s="354"/>
      <c r="W25" s="354"/>
    </row>
    <row r="26" spans="1:23" customFormat="1" ht="15" customHeight="1" x14ac:dyDescent="0.25">
      <c r="A26" s="41"/>
      <c r="B26" s="786"/>
      <c r="C26" s="781"/>
      <c r="D26" s="782"/>
      <c r="E26" s="783"/>
      <c r="F26" s="784"/>
      <c r="G26" s="785"/>
      <c r="H26" s="780"/>
      <c r="I26" s="780"/>
      <c r="J26" s="788"/>
      <c r="K26" s="4"/>
      <c r="L26" s="349"/>
      <c r="M26" s="382"/>
      <c r="N26" s="354"/>
      <c r="O26" s="410"/>
      <c r="P26" s="410"/>
      <c r="Q26" s="351"/>
      <c r="S26" s="353"/>
      <c r="T26" s="353"/>
      <c r="V26" s="354"/>
      <c r="W26" s="354"/>
    </row>
    <row r="27" spans="1:23" customFormat="1" ht="30" customHeight="1" x14ac:dyDescent="0.25">
      <c r="A27" s="1687" t="s">
        <v>71</v>
      </c>
      <c r="B27" s="1687"/>
      <c r="C27" s="1687"/>
      <c r="D27" s="1687"/>
      <c r="E27" s="2330" t="s">
        <v>111</v>
      </c>
      <c r="F27" s="2331"/>
      <c r="G27" s="2332"/>
      <c r="H27" s="850" t="s">
        <v>125</v>
      </c>
      <c r="I27" s="819" t="s">
        <v>17</v>
      </c>
      <c r="J27" s="841"/>
      <c r="K27" s="4"/>
      <c r="L27" s="335"/>
      <c r="M27" s="335"/>
      <c r="S27" s="2"/>
      <c r="T27" s="2"/>
    </row>
    <row r="28" spans="1:23" customFormat="1" ht="69.95" customHeight="1" x14ac:dyDescent="0.25">
      <c r="A28" s="821"/>
      <c r="B28" s="1767" t="s">
        <v>615</v>
      </c>
      <c r="C28" s="2344"/>
      <c r="D28" s="1768"/>
      <c r="E28" s="2345" t="s">
        <v>616</v>
      </c>
      <c r="F28" s="2346"/>
      <c r="G28" s="2347"/>
      <c r="H28" s="826" t="s">
        <v>18</v>
      </c>
      <c r="I28" s="699">
        <f>'Эл-ты панельных ограждений - 2'!G25</f>
        <v>6269</v>
      </c>
      <c r="J28" s="841"/>
      <c r="K28" s="4"/>
      <c r="L28" s="335"/>
      <c r="M28" s="335"/>
      <c r="S28" s="2"/>
      <c r="T28" s="2"/>
    </row>
    <row r="29" spans="1:23" customFormat="1" ht="90" customHeight="1" x14ac:dyDescent="0.25">
      <c r="A29" s="1033"/>
      <c r="B29" s="2348" t="s">
        <v>855</v>
      </c>
      <c r="C29" s="2349"/>
      <c r="D29" s="2350"/>
      <c r="E29" s="2351" t="s">
        <v>700</v>
      </c>
      <c r="F29" s="2352"/>
      <c r="G29" s="2353"/>
      <c r="H29" s="822" t="s">
        <v>129</v>
      </c>
      <c r="I29" s="818">
        <f>ROUND(J29*BelarusV_LFpe*(1-$B$52),0)</f>
        <v>8258</v>
      </c>
      <c r="J29" s="789">
        <v>8258</v>
      </c>
      <c r="K29" s="4"/>
      <c r="S29" s="2"/>
      <c r="T29" s="2"/>
    </row>
    <row r="30" spans="1:23" customFormat="1" ht="69.95" customHeight="1" x14ac:dyDescent="0.25">
      <c r="A30" s="844"/>
      <c r="B30" s="2348" t="s">
        <v>495</v>
      </c>
      <c r="C30" s="2349"/>
      <c r="D30" s="2350"/>
      <c r="E30" s="2348" t="s">
        <v>858</v>
      </c>
      <c r="F30" s="2349"/>
      <c r="G30" s="2350"/>
      <c r="H30" s="828" t="s">
        <v>262</v>
      </c>
      <c r="I30" s="825">
        <f>ROUND(J30*BelarusV*(1-$B$52),0)</f>
        <v>1386</v>
      </c>
      <c r="J30" s="789">
        <v>1386</v>
      </c>
      <c r="K30" s="4"/>
      <c r="L30" s="1"/>
      <c r="M30" s="1"/>
      <c r="N30" s="1"/>
      <c r="O30" s="1"/>
      <c r="P30" s="1"/>
      <c r="Q30" s="1"/>
      <c r="S30" s="2"/>
      <c r="T30" s="2"/>
    </row>
    <row r="31" spans="1:23" customFormat="1" ht="69.95" customHeight="1" x14ac:dyDescent="0.25">
      <c r="A31" s="844"/>
      <c r="B31" s="2348" t="s">
        <v>261</v>
      </c>
      <c r="C31" s="2349"/>
      <c r="D31" s="2350"/>
      <c r="E31" s="2348" t="s">
        <v>697</v>
      </c>
      <c r="F31" s="2349"/>
      <c r="G31" s="2350"/>
      <c r="H31" s="828" t="s">
        <v>262</v>
      </c>
      <c r="I31" s="825">
        <f>ROUND(J31*BelarusV_LFpe*(1-$B$52),0)</f>
        <v>712</v>
      </c>
      <c r="J31" s="789">
        <v>712</v>
      </c>
      <c r="K31" s="4"/>
      <c r="M31" s="1"/>
      <c r="N31" s="1"/>
      <c r="O31" s="1"/>
      <c r="P31" s="1"/>
      <c r="Q31" s="1"/>
      <c r="R31" s="1"/>
      <c r="S31" s="2"/>
      <c r="T31" s="2"/>
    </row>
    <row r="32" spans="1:23" customFormat="1" ht="69.95" customHeight="1" x14ac:dyDescent="0.25">
      <c r="A32" s="844"/>
      <c r="B32" s="2364" t="s">
        <v>529</v>
      </c>
      <c r="C32" s="2365"/>
      <c r="D32" s="2366"/>
      <c r="E32" s="2351" t="s">
        <v>696</v>
      </c>
      <c r="F32" s="2352"/>
      <c r="G32" s="2353"/>
      <c r="H32" s="828" t="s">
        <v>262</v>
      </c>
      <c r="I32" s="825">
        <f>ROUND(J32*BelarusV_LFpe*(1-$B$52),0)</f>
        <v>2264</v>
      </c>
      <c r="J32" s="789">
        <v>2264</v>
      </c>
      <c r="K32" s="4"/>
      <c r="M32" s="1"/>
      <c r="N32" s="1"/>
      <c r="O32" s="1"/>
      <c r="P32" s="1"/>
      <c r="Q32" s="1"/>
      <c r="R32" s="1"/>
      <c r="S32" s="2"/>
      <c r="T32" s="2"/>
    </row>
    <row r="33" spans="1:20" customFormat="1" ht="69.95" customHeight="1" x14ac:dyDescent="0.25">
      <c r="A33" s="844"/>
      <c r="B33" s="2364" t="s">
        <v>275</v>
      </c>
      <c r="C33" s="2365"/>
      <c r="D33" s="2366"/>
      <c r="E33" s="2351" t="s">
        <v>698</v>
      </c>
      <c r="F33" s="2352"/>
      <c r="G33" s="2353"/>
      <c r="H33" s="822" t="s">
        <v>129</v>
      </c>
      <c r="I33" s="825">
        <f>ROUND(J33*BelarusV_LFpe*(1-$B$52),0)</f>
        <v>2321</v>
      </c>
      <c r="J33" s="789">
        <v>2321</v>
      </c>
      <c r="K33" s="4"/>
      <c r="S33" s="2"/>
      <c r="T33" s="2"/>
    </row>
    <row r="34" spans="1:20" customFormat="1" ht="69.95" customHeight="1" x14ac:dyDescent="0.25">
      <c r="A34" s="844"/>
      <c r="B34" s="2364" t="s">
        <v>563</v>
      </c>
      <c r="C34" s="2365"/>
      <c r="D34" s="2366"/>
      <c r="E34" s="2351" t="s">
        <v>699</v>
      </c>
      <c r="F34" s="2352"/>
      <c r="G34" s="2353"/>
      <c r="H34" s="761" t="s">
        <v>276</v>
      </c>
      <c r="I34" s="827">
        <f>ROUND(J34*BelarusV_LFpe*(1-$B$52),0)</f>
        <v>1826</v>
      </c>
      <c r="J34" s="789">
        <v>1826</v>
      </c>
      <c r="K34" s="4"/>
      <c r="S34" s="2"/>
      <c r="T34" s="2"/>
    </row>
    <row r="35" spans="1:20" customFormat="1" ht="15" customHeight="1" x14ac:dyDescent="0.25">
      <c r="A35" s="1"/>
      <c r="B35" s="846"/>
      <c r="C35" s="846"/>
      <c r="D35" s="846"/>
      <c r="E35" s="284"/>
      <c r="F35" s="284"/>
      <c r="G35" s="284"/>
      <c r="H35" s="284"/>
      <c r="I35" s="432"/>
      <c r="J35" s="789"/>
      <c r="K35" s="4"/>
      <c r="S35" s="2"/>
      <c r="T35" s="2"/>
    </row>
    <row r="36" spans="1:20" customFormat="1" ht="35.1" customHeight="1" x14ac:dyDescent="0.25">
      <c r="A36" s="2333" t="s">
        <v>658</v>
      </c>
      <c r="B36" s="2333"/>
      <c r="C36" s="2333"/>
      <c r="D36" s="2333"/>
      <c r="E36" s="2333"/>
      <c r="F36" s="2333"/>
      <c r="G36" s="2333"/>
      <c r="H36" s="2333"/>
      <c r="I36" s="2333"/>
      <c r="J36" s="789"/>
      <c r="K36" s="4"/>
      <c r="S36" s="2"/>
      <c r="T36" s="2"/>
    </row>
    <row r="37" spans="1:20" customFormat="1" ht="30" customHeight="1" x14ac:dyDescent="0.25">
      <c r="A37" s="1586" t="s">
        <v>667</v>
      </c>
      <c r="B37" s="1586"/>
      <c r="C37" s="1586"/>
      <c r="D37" s="1586"/>
      <c r="E37" s="1586"/>
      <c r="F37" s="1586"/>
      <c r="G37" s="1586"/>
      <c r="H37" s="1586"/>
      <c r="I37" s="759" t="s">
        <v>17</v>
      </c>
      <c r="J37" s="788"/>
      <c r="K37" s="4"/>
      <c r="S37" s="2"/>
      <c r="T37" s="2"/>
    </row>
    <row r="38" spans="1:20" customFormat="1" ht="27.95" customHeight="1" x14ac:dyDescent="0.25">
      <c r="A38" s="2354"/>
      <c r="B38" s="2356" t="s">
        <v>856</v>
      </c>
      <c r="C38" s="2357"/>
      <c r="D38" s="2357"/>
      <c r="E38" s="2357"/>
      <c r="F38" s="2357"/>
      <c r="G38" s="2357"/>
      <c r="H38" s="2358"/>
      <c r="I38" s="845">
        <f t="shared" ref="I38:I46" si="0">ROUND(J38*BelarusV*(1-$B$52),0)</f>
        <v>11424</v>
      </c>
      <c r="J38" s="789">
        <v>11424</v>
      </c>
      <c r="K38" s="4"/>
      <c r="S38" s="2"/>
      <c r="T38" s="2"/>
    </row>
    <row r="39" spans="1:20" customFormat="1" ht="27.95" customHeight="1" x14ac:dyDescent="0.25">
      <c r="A39" s="2355"/>
      <c r="B39" s="2359" t="s">
        <v>659</v>
      </c>
      <c r="C39" s="2359"/>
      <c r="D39" s="2359"/>
      <c r="E39" s="2359"/>
      <c r="F39" s="2359"/>
      <c r="G39" s="2359"/>
      <c r="H39" s="2359"/>
      <c r="I39" s="845">
        <f t="shared" si="0"/>
        <v>6825</v>
      </c>
      <c r="J39" s="789">
        <v>6825</v>
      </c>
      <c r="K39" s="4"/>
      <c r="S39" s="2"/>
      <c r="T39" s="2"/>
    </row>
    <row r="40" spans="1:20" customFormat="1" ht="27.95" customHeight="1" x14ac:dyDescent="0.25">
      <c r="A40" s="2355"/>
      <c r="B40" s="2359" t="s">
        <v>660</v>
      </c>
      <c r="C40" s="2359"/>
      <c r="D40" s="2359"/>
      <c r="E40" s="2359"/>
      <c r="F40" s="2359"/>
      <c r="G40" s="2359"/>
      <c r="H40" s="2359"/>
      <c r="I40" s="845">
        <f t="shared" si="0"/>
        <v>6825</v>
      </c>
      <c r="J40" s="789">
        <v>6825</v>
      </c>
      <c r="K40" s="4"/>
      <c r="S40" s="2"/>
      <c r="T40" s="2"/>
    </row>
    <row r="41" spans="1:20" customFormat="1" ht="27.95" customHeight="1" x14ac:dyDescent="0.25">
      <c r="A41" s="2355"/>
      <c r="B41" s="2359" t="s">
        <v>340</v>
      </c>
      <c r="C41" s="2359"/>
      <c r="D41" s="2359"/>
      <c r="E41" s="2359"/>
      <c r="F41" s="2359"/>
      <c r="G41" s="2359"/>
      <c r="H41" s="2359"/>
      <c r="I41" s="845">
        <f t="shared" si="0"/>
        <v>3465</v>
      </c>
      <c r="J41" s="789">
        <v>3465</v>
      </c>
      <c r="K41" s="4"/>
      <c r="S41" s="2"/>
      <c r="T41" s="2"/>
    </row>
    <row r="42" spans="1:20" customFormat="1" ht="27.95" customHeight="1" x14ac:dyDescent="0.25">
      <c r="A42" s="2355"/>
      <c r="B42" s="2360" t="s">
        <v>740</v>
      </c>
      <c r="C42" s="2361"/>
      <c r="D42" s="2361"/>
      <c r="E42" s="2361"/>
      <c r="F42" s="2361"/>
      <c r="G42" s="2361"/>
      <c r="H42" s="2362"/>
      <c r="I42" s="845">
        <f t="shared" si="0"/>
        <v>8295</v>
      </c>
      <c r="J42" s="789">
        <v>8295</v>
      </c>
      <c r="K42" s="4"/>
      <c r="S42" s="2"/>
      <c r="T42" s="2"/>
    </row>
    <row r="43" spans="1:20" customFormat="1" ht="27.95" customHeight="1" x14ac:dyDescent="0.25">
      <c r="A43" s="2355"/>
      <c r="B43" s="2360" t="s">
        <v>742</v>
      </c>
      <c r="C43" s="2361"/>
      <c r="D43" s="2361"/>
      <c r="E43" s="2361"/>
      <c r="F43" s="2361"/>
      <c r="G43" s="2361"/>
      <c r="H43" s="2362"/>
      <c r="I43" s="845">
        <f t="shared" si="0"/>
        <v>8295</v>
      </c>
      <c r="J43" s="789">
        <v>8295</v>
      </c>
      <c r="K43" s="4"/>
      <c r="S43" s="2"/>
      <c r="T43" s="2"/>
    </row>
    <row r="44" spans="1:20" customFormat="1" ht="27.95" customHeight="1" x14ac:dyDescent="0.25">
      <c r="A44" s="2355"/>
      <c r="B44" s="2360" t="s">
        <v>741</v>
      </c>
      <c r="C44" s="2361"/>
      <c r="D44" s="2361"/>
      <c r="E44" s="2361"/>
      <c r="F44" s="2361"/>
      <c r="G44" s="2361"/>
      <c r="H44" s="2362"/>
      <c r="I44" s="845">
        <f t="shared" si="0"/>
        <v>8295</v>
      </c>
      <c r="J44" s="789">
        <v>8295</v>
      </c>
      <c r="K44" s="4"/>
      <c r="S44" s="2"/>
      <c r="T44" s="2"/>
    </row>
    <row r="45" spans="1:20" customFormat="1" ht="27.95" customHeight="1" x14ac:dyDescent="0.25">
      <c r="A45" s="2355"/>
      <c r="B45" s="2360" t="s">
        <v>743</v>
      </c>
      <c r="C45" s="2361"/>
      <c r="D45" s="2361"/>
      <c r="E45" s="2361"/>
      <c r="F45" s="2361"/>
      <c r="G45" s="2361"/>
      <c r="H45" s="2362"/>
      <c r="I45" s="845">
        <f t="shared" si="0"/>
        <v>8295</v>
      </c>
      <c r="J45" s="789">
        <v>8295</v>
      </c>
      <c r="K45" s="4"/>
      <c r="S45" s="2"/>
      <c r="T45" s="2"/>
    </row>
    <row r="46" spans="1:20" customFormat="1" ht="27.95" customHeight="1" x14ac:dyDescent="0.25">
      <c r="A46" s="2355"/>
      <c r="B46" s="2363" t="s">
        <v>339</v>
      </c>
      <c r="C46" s="2363"/>
      <c r="D46" s="2363"/>
      <c r="E46" s="2363"/>
      <c r="F46" s="2363"/>
      <c r="G46" s="2363"/>
      <c r="H46" s="2363"/>
      <c r="I46" s="845">
        <f t="shared" si="0"/>
        <v>7245</v>
      </c>
      <c r="J46" s="789">
        <v>7245</v>
      </c>
      <c r="K46" s="4"/>
      <c r="S46" s="2"/>
      <c r="T46" s="2"/>
    </row>
    <row r="47" spans="1:20" customFormat="1" ht="24.95" customHeight="1" x14ac:dyDescent="0.25">
      <c r="A47" s="1"/>
      <c r="B47" s="1"/>
      <c r="C47" s="1"/>
      <c r="D47" s="1"/>
      <c r="E47" s="1"/>
      <c r="F47" s="1"/>
      <c r="G47" s="1"/>
      <c r="H47" s="1"/>
      <c r="I47" s="16"/>
      <c r="J47" s="842"/>
      <c r="K47" s="4"/>
      <c r="S47" s="2"/>
      <c r="T47" s="2"/>
    </row>
    <row r="48" spans="1:20" customFormat="1" ht="24.95" customHeight="1" x14ac:dyDescent="0.25">
      <c r="A48" s="1"/>
      <c r="B48" s="1"/>
      <c r="C48" s="1"/>
      <c r="D48" s="1"/>
      <c r="E48" s="1"/>
      <c r="F48" s="1"/>
      <c r="G48" s="1"/>
      <c r="H48" s="1"/>
      <c r="I48" s="16"/>
      <c r="J48" s="842"/>
      <c r="K48" s="4"/>
      <c r="S48" s="2"/>
      <c r="T48" s="2"/>
    </row>
    <row r="49" spans="1:20" customFormat="1" ht="24.95" customHeight="1" x14ac:dyDescent="0.3">
      <c r="A49" s="1"/>
      <c r="B49" s="5"/>
      <c r="C49" s="5"/>
      <c r="D49" s="5"/>
      <c r="E49" s="5"/>
      <c r="F49" s="5"/>
      <c r="G49" s="5"/>
      <c r="H49" s="5"/>
      <c r="I49" s="16"/>
      <c r="J49" s="842"/>
      <c r="K49" s="4"/>
      <c r="S49" s="2"/>
      <c r="T49" s="2"/>
    </row>
    <row r="50" spans="1:20" customFormat="1" ht="24.95" customHeight="1" x14ac:dyDescent="0.3">
      <c r="A50" s="94"/>
      <c r="B50" s="5"/>
      <c r="C50" s="5"/>
      <c r="D50" s="5"/>
      <c r="E50" s="5"/>
      <c r="F50" s="5"/>
      <c r="G50" s="5"/>
      <c r="H50" s="5"/>
      <c r="I50" s="1"/>
      <c r="J50" s="4"/>
      <c r="K50" s="4"/>
      <c r="S50" s="2"/>
      <c r="T50" s="2"/>
    </row>
    <row r="51" spans="1:20" customFormat="1" ht="21.95" customHeight="1" x14ac:dyDescent="0.3">
      <c r="A51" s="160"/>
      <c r="B51" s="5"/>
      <c r="C51" s="5"/>
      <c r="D51" s="5"/>
      <c r="E51" s="5"/>
      <c r="F51" s="1"/>
      <c r="G51" s="161"/>
      <c r="H51" s="161"/>
      <c r="I51" s="161"/>
      <c r="J51" s="843"/>
      <c r="K51" s="4"/>
      <c r="S51" s="2"/>
      <c r="T51" s="2"/>
    </row>
    <row r="52" spans="1:20" customFormat="1" ht="46.5" customHeight="1" x14ac:dyDescent="0.3">
      <c r="A52" s="790" t="s">
        <v>6</v>
      </c>
      <c r="B52" s="1589">
        <v>0</v>
      </c>
      <c r="C52" s="1590"/>
      <c r="D52" s="1590"/>
      <c r="E52" s="1591"/>
      <c r="F52" s="5"/>
      <c r="G52" s="5"/>
      <c r="H52" s="5"/>
      <c r="I52" s="1"/>
      <c r="J52" s="4"/>
      <c r="K52" s="4"/>
      <c r="S52" s="2"/>
      <c r="T52" s="2"/>
    </row>
    <row r="53" spans="1:20" customFormat="1" ht="40.5" customHeight="1" x14ac:dyDescent="0.25">
      <c r="A53" s="12"/>
      <c r="B53" s="12"/>
      <c r="C53" s="12"/>
      <c r="D53" s="12"/>
      <c r="E53" s="12"/>
      <c r="F53" s="12"/>
      <c r="G53" s="12"/>
      <c r="H53" s="12"/>
      <c r="I53" s="1"/>
      <c r="J53" s="4"/>
      <c r="K53" s="4"/>
      <c r="S53" s="2"/>
      <c r="T53" s="2"/>
    </row>
    <row r="54" spans="1:20" customFormat="1" ht="21.95" customHeight="1" x14ac:dyDescent="0.25">
      <c r="A54" s="12"/>
      <c r="B54" s="12"/>
      <c r="C54" s="12"/>
      <c r="D54" s="12"/>
      <c r="E54" s="12"/>
      <c r="F54" s="12"/>
      <c r="G54" s="12"/>
      <c r="H54" s="12"/>
      <c r="I54" s="1"/>
      <c r="J54" s="4"/>
      <c r="K54" s="4"/>
      <c r="S54" s="2"/>
      <c r="T54" s="2"/>
    </row>
    <row r="55" spans="1:20" customFormat="1" ht="21.95" customHeight="1" x14ac:dyDescent="0.25">
      <c r="A55" s="12"/>
      <c r="B55" s="12"/>
      <c r="C55" s="12"/>
      <c r="D55" s="12"/>
      <c r="E55" s="12"/>
      <c r="F55" s="12"/>
      <c r="G55" s="12"/>
      <c r="H55" s="12"/>
      <c r="I55" s="1"/>
      <c r="J55" s="4"/>
      <c r="K55" s="4"/>
      <c r="S55" s="2"/>
      <c r="T55" s="2"/>
    </row>
    <row r="56" spans="1:20" customFormat="1" ht="40.5" customHeight="1" x14ac:dyDescent="0.25">
      <c r="A56" s="12"/>
      <c r="B56" s="12"/>
      <c r="C56" s="12"/>
      <c r="D56" s="12"/>
      <c r="E56" s="12"/>
      <c r="F56" s="12"/>
      <c r="G56" s="12"/>
      <c r="H56" s="12"/>
      <c r="I56" s="1"/>
      <c r="J56" s="4"/>
      <c r="K56" s="4"/>
      <c r="S56" s="2"/>
      <c r="T56" s="2"/>
    </row>
    <row r="57" spans="1:20" customFormat="1" ht="21.95" customHeight="1" x14ac:dyDescent="0.25">
      <c r="A57" s="16"/>
      <c r="B57" s="16"/>
      <c r="C57" s="16"/>
      <c r="D57" s="16"/>
      <c r="E57" s="16"/>
      <c r="F57" s="16"/>
      <c r="G57" s="16"/>
      <c r="H57" s="16"/>
      <c r="I57" s="1"/>
      <c r="J57" s="4"/>
      <c r="K57" s="4"/>
      <c r="S57" s="2"/>
      <c r="T57" s="2"/>
    </row>
    <row r="58" spans="1:20" customFormat="1" ht="21.95" customHeight="1" x14ac:dyDescent="0.25">
      <c r="A58" s="2"/>
      <c r="B58" s="2"/>
      <c r="C58" s="2"/>
      <c r="D58" s="2"/>
      <c r="E58" s="2"/>
      <c r="F58" s="2"/>
      <c r="G58" s="2"/>
      <c r="H58" s="2"/>
      <c r="I58" s="1"/>
      <c r="J58" s="4"/>
      <c r="K58" s="4"/>
      <c r="S58" s="2"/>
      <c r="T58" s="2"/>
    </row>
    <row r="59" spans="1:20" customFormat="1" ht="40.5" customHeight="1" x14ac:dyDescent="0.25">
      <c r="A59" s="2"/>
      <c r="B59" s="2"/>
      <c r="C59" s="2"/>
      <c r="D59" s="2"/>
      <c r="E59" s="2"/>
      <c r="F59" s="2"/>
      <c r="G59" s="2"/>
      <c r="H59" s="2"/>
      <c r="I59" s="1"/>
      <c r="J59" s="4"/>
      <c r="K59" s="4"/>
      <c r="S59" s="2"/>
      <c r="T59" s="2"/>
    </row>
    <row r="60" spans="1:20" customFormat="1" ht="21.95" customHeight="1" x14ac:dyDescent="0.25">
      <c r="A60" s="2"/>
      <c r="B60" s="2"/>
      <c r="C60" s="2"/>
      <c r="D60" s="2"/>
      <c r="E60" s="2"/>
      <c r="F60" s="2"/>
      <c r="G60" s="2"/>
      <c r="H60" s="2"/>
      <c r="I60" s="1"/>
      <c r="J60" s="4"/>
      <c r="K60" s="4"/>
      <c r="S60" s="2"/>
      <c r="T60" s="2"/>
    </row>
    <row r="61" spans="1:20" customFormat="1" ht="21.95" customHeight="1" x14ac:dyDescent="0.25">
      <c r="A61" s="2"/>
      <c r="B61" s="2"/>
      <c r="C61" s="2"/>
      <c r="D61" s="2"/>
      <c r="E61" s="2"/>
      <c r="F61" s="2"/>
      <c r="G61" s="2"/>
      <c r="H61" s="2"/>
      <c r="I61" s="1"/>
      <c r="J61" s="4"/>
      <c r="K61" s="4"/>
      <c r="S61" s="2"/>
      <c r="T61" s="2"/>
    </row>
    <row r="62" spans="1:20" customFormat="1" ht="21.9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4"/>
      <c r="K62" s="4"/>
      <c r="S62" s="2"/>
      <c r="T62" s="2"/>
    </row>
    <row r="63" spans="1:20" customFormat="1" ht="21.9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4"/>
      <c r="K63" s="4"/>
      <c r="S63" s="2"/>
      <c r="T63" s="2"/>
    </row>
    <row r="64" spans="1:20" customFormat="1" ht="21.9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4"/>
      <c r="K64" s="4"/>
      <c r="S64" s="2"/>
      <c r="T64" s="2"/>
    </row>
    <row r="65" spans="1:20" customFormat="1" ht="21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4"/>
      <c r="K65" s="4"/>
      <c r="S65" s="2"/>
      <c r="T65" s="2"/>
    </row>
    <row r="66" spans="1:20" customFormat="1" ht="21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4"/>
      <c r="K66" s="4"/>
      <c r="S66" s="2"/>
      <c r="T66" s="2"/>
    </row>
    <row r="67" spans="1:20" customFormat="1" ht="21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4"/>
      <c r="K67" s="4"/>
      <c r="S67" s="2"/>
      <c r="T67" s="2"/>
    </row>
    <row r="68" spans="1:20" customFormat="1" ht="21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4"/>
      <c r="K68" s="4"/>
      <c r="S68" s="2"/>
      <c r="T68" s="2"/>
    </row>
    <row r="69" spans="1:20" customFormat="1" ht="21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4"/>
      <c r="K69" s="4"/>
      <c r="S69" s="2"/>
      <c r="T69" s="2"/>
    </row>
    <row r="70" spans="1:20" customFormat="1" ht="21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4"/>
      <c r="K70" s="4"/>
      <c r="S70" s="2"/>
      <c r="T70" s="2"/>
    </row>
    <row r="71" spans="1:20" customFormat="1" ht="21.9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4"/>
      <c r="K71" s="4"/>
      <c r="S71" s="2"/>
      <c r="T71" s="2"/>
    </row>
    <row r="72" spans="1:20" customFormat="1" ht="21.9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4"/>
      <c r="K72" s="4"/>
      <c r="S72" s="2"/>
      <c r="T72" s="2"/>
    </row>
    <row r="73" spans="1:20" customFormat="1" ht="24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4"/>
      <c r="K73" s="4"/>
      <c r="S73" s="2"/>
      <c r="T73" s="2"/>
    </row>
    <row r="74" spans="1:20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4"/>
      <c r="K74" s="4"/>
      <c r="S74" s="2"/>
      <c r="T74" s="2"/>
    </row>
    <row r="75" spans="1:20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4"/>
      <c r="K75" s="4"/>
      <c r="S75" s="2"/>
      <c r="T75" s="2"/>
    </row>
    <row r="76" spans="1:20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4"/>
      <c r="K76" s="4"/>
      <c r="S76" s="2"/>
      <c r="T76" s="2"/>
    </row>
    <row r="77" spans="1:20" customFormat="1" x14ac:dyDescent="0.25">
      <c r="A77" s="1"/>
      <c r="B77" s="1"/>
      <c r="C77" s="1"/>
      <c r="D77" s="1"/>
      <c r="E77" s="1"/>
      <c r="F77" s="1"/>
      <c r="G77" s="1"/>
      <c r="H77" s="1"/>
      <c r="I77" s="1"/>
      <c r="J77" s="4"/>
      <c r="K77" s="4"/>
      <c r="S77" s="2"/>
      <c r="T77" s="2"/>
    </row>
    <row r="78" spans="1:20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4"/>
      <c r="K78" s="4"/>
      <c r="S78" s="2"/>
      <c r="T78" s="2"/>
    </row>
    <row r="79" spans="1:20" customFormat="1" ht="28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4"/>
      <c r="K79" s="4"/>
      <c r="S79" s="2"/>
      <c r="T79" s="2"/>
    </row>
    <row r="86" ht="32.25" customHeight="1" x14ac:dyDescent="0.25"/>
    <row r="87" ht="108.75" customHeight="1" x14ac:dyDescent="0.25"/>
    <row r="94" ht="106.5" customHeight="1" x14ac:dyDescent="0.25"/>
  </sheetData>
  <sheetProtection formatCells="0" formatColumns="0" formatRows="0" insertColumns="0" insertRows="0" insertHyperlinks="0" deleteColumns="0" deleteRows="0" sort="0" autoFilter="0" pivotTables="0"/>
  <mergeCells count="64">
    <mergeCell ref="C25:G25"/>
    <mergeCell ref="C24:G24"/>
    <mergeCell ref="C23:G23"/>
    <mergeCell ref="C22:G22"/>
    <mergeCell ref="A7:B7"/>
    <mergeCell ref="C7:E7"/>
    <mergeCell ref="F7:G7"/>
    <mergeCell ref="A22:A23"/>
    <mergeCell ref="A20:I20"/>
    <mergeCell ref="B21:H21"/>
    <mergeCell ref="A24:A25"/>
    <mergeCell ref="A9:B9"/>
    <mergeCell ref="C9:G9"/>
    <mergeCell ref="E18:G18"/>
    <mergeCell ref="A11:H11"/>
    <mergeCell ref="B12:D12"/>
    <mergeCell ref="B52:E52"/>
    <mergeCell ref="B33:D33"/>
    <mergeCell ref="E33:G33"/>
    <mergeCell ref="B34:D34"/>
    <mergeCell ref="E34:G34"/>
    <mergeCell ref="A36:I36"/>
    <mergeCell ref="A37:H37"/>
    <mergeCell ref="B30:D30"/>
    <mergeCell ref="E30:G30"/>
    <mergeCell ref="B31:D31"/>
    <mergeCell ref="E31:G31"/>
    <mergeCell ref="A38:A46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32:D32"/>
    <mergeCell ref="E32:G32"/>
    <mergeCell ref="A27:D27"/>
    <mergeCell ref="E27:G27"/>
    <mergeCell ref="B28:D28"/>
    <mergeCell ref="E28:G28"/>
    <mergeCell ref="B29:D29"/>
    <mergeCell ref="E29:G29"/>
    <mergeCell ref="D1:F2"/>
    <mergeCell ref="A3:I3"/>
    <mergeCell ref="A4:G4"/>
    <mergeCell ref="H4:I4"/>
    <mergeCell ref="A8:G8"/>
    <mergeCell ref="A5:B6"/>
    <mergeCell ref="C5:E6"/>
    <mergeCell ref="F5:G6"/>
    <mergeCell ref="E12:G12"/>
    <mergeCell ref="B13:D13"/>
    <mergeCell ref="E13:G13"/>
    <mergeCell ref="A15:D15"/>
    <mergeCell ref="B17:D17"/>
    <mergeCell ref="E17:G17"/>
    <mergeCell ref="A16:A18"/>
    <mergeCell ref="B16:D16"/>
    <mergeCell ref="E16:G16"/>
    <mergeCell ref="B18:D18"/>
    <mergeCell ref="E15:G15"/>
  </mergeCells>
  <conditionalFormatting sqref="A51">
    <cfRule type="cellIs" dxfId="5" priority="3" operator="equal">
      <formula>0</formula>
    </cfRule>
  </conditionalFormatting>
  <conditionalFormatting sqref="G49:G50">
    <cfRule type="cellIs" dxfId="4" priority="2" operator="equal">
      <formula>0</formula>
    </cfRule>
  </conditionalFormatting>
  <conditionalFormatting sqref="H4:H7">
    <cfRule type="cellIs" dxfId="3" priority="1" operator="equal">
      <formula>0</formula>
    </cfRule>
  </conditionalFormatting>
  <conditionalFormatting sqref="H9 G26 G52:G65538">
    <cfRule type="cellIs" dxfId="2" priority="4" operator="equal">
      <formula>0</formula>
    </cfRule>
  </conditionalFormatting>
  <printOptions horizontalCentered="1"/>
  <pageMargins left="3.937007874015748E-2" right="3.937007874015748E-2" top="3.937007874015748E-2" bottom="3.937007874015748E-2" header="0.31496062992125984" footer="0.31496062992125984"/>
  <pageSetup paperSize="9" scale="37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0">
    <tabColor rgb="FFC00000"/>
    <pageSetUpPr fitToPage="1"/>
  </sheetPr>
  <dimension ref="A1:M74"/>
  <sheetViews>
    <sheetView showGridLines="0" zoomScale="55" zoomScaleNormal="55" zoomScaleSheetLayoutView="25" zoomScalePageLayoutView="55" workbookViewId="0">
      <selection activeCell="I2" sqref="I2"/>
    </sheetView>
  </sheetViews>
  <sheetFormatPr defaultRowHeight="20.25" x14ac:dyDescent="0.25"/>
  <cols>
    <col min="1" max="1" width="37.85546875" style="24" customWidth="1"/>
    <col min="2" max="2" width="44.7109375" style="24" customWidth="1"/>
    <col min="3" max="3" width="60.7109375" style="26" customWidth="1"/>
    <col min="4" max="4" width="22.5703125" style="26" customWidth="1"/>
    <col min="5" max="5" width="22.140625" style="24" customWidth="1"/>
    <col min="6" max="6" width="20.85546875" style="24" customWidth="1"/>
    <col min="7" max="8" width="22.7109375" style="24" customWidth="1"/>
    <col min="9" max="9" width="21" style="24" customWidth="1"/>
    <col min="10" max="10" width="11" style="481" hidden="1" customWidth="1"/>
    <col min="11" max="11" width="16" style="211" customWidth="1"/>
    <col min="12" max="12" width="20.5703125" style="24" customWidth="1"/>
    <col min="13" max="13" width="16" style="24" customWidth="1"/>
    <col min="14" max="104" width="5.5703125" style="24" customWidth="1"/>
    <col min="105" max="16384" width="9.140625" style="24"/>
  </cols>
  <sheetData>
    <row r="1" spans="1:13" ht="75.75" customHeight="1" x14ac:dyDescent="0.25">
      <c r="C1" s="24"/>
      <c r="D1" s="24"/>
    </row>
    <row r="2" spans="1:13" ht="33" customHeight="1" x14ac:dyDescent="0.4">
      <c r="B2" s="212"/>
      <c r="C2" s="2455" t="s">
        <v>208</v>
      </c>
      <c r="D2" s="2455"/>
      <c r="E2" s="2455"/>
      <c r="F2" s="242"/>
      <c r="G2" s="212"/>
      <c r="H2" s="156" t="s">
        <v>70</v>
      </c>
      <c r="I2" s="348">
        <f>'Панельные ограждения GL (стр.1)'!N2</f>
        <v>46197</v>
      </c>
      <c r="J2" s="391"/>
    </row>
    <row r="3" spans="1:13" ht="24.95" customHeight="1" x14ac:dyDescent="0.25">
      <c r="A3" s="2434" t="s">
        <v>71</v>
      </c>
      <c r="B3" s="2434" t="s">
        <v>76</v>
      </c>
      <c r="C3" s="2434" t="s">
        <v>63</v>
      </c>
      <c r="D3" s="2436" t="s">
        <v>417</v>
      </c>
      <c r="E3" s="2437"/>
      <c r="F3" s="2438"/>
      <c r="G3" s="2439" t="s">
        <v>111</v>
      </c>
      <c r="H3" s="2440"/>
      <c r="I3" s="2429" t="s">
        <v>17</v>
      </c>
      <c r="J3" s="245" t="s">
        <v>10</v>
      </c>
    </row>
    <row r="4" spans="1:13" x14ac:dyDescent="0.3">
      <c r="A4" s="2435"/>
      <c r="B4" s="2435"/>
      <c r="C4" s="2435"/>
      <c r="D4" s="2431" t="s">
        <v>112</v>
      </c>
      <c r="E4" s="2432"/>
      <c r="F4" s="199" t="s">
        <v>113</v>
      </c>
      <c r="G4" s="2441"/>
      <c r="H4" s="2442"/>
      <c r="I4" s="2430"/>
      <c r="J4" s="243" t="s">
        <v>217</v>
      </c>
    </row>
    <row r="5" spans="1:13" ht="50.1" customHeight="1" x14ac:dyDescent="0.2">
      <c r="A5" s="2398" t="s">
        <v>140</v>
      </c>
      <c r="B5" s="2400"/>
      <c r="C5" s="2444" t="s">
        <v>141</v>
      </c>
      <c r="D5" s="2407" t="s">
        <v>209</v>
      </c>
      <c r="E5" s="2408"/>
      <c r="F5" s="2443" t="s">
        <v>405</v>
      </c>
      <c r="G5" s="233" t="s">
        <v>125</v>
      </c>
      <c r="H5" s="234" t="s">
        <v>142</v>
      </c>
      <c r="I5" s="2433">
        <f>ROUND(J5*BelarusV*(1-$B$57),2)</f>
        <v>22696</v>
      </c>
      <c r="J5" s="390">
        <v>22696</v>
      </c>
      <c r="K5" s="403"/>
      <c r="L5" s="403"/>
      <c r="M5" s="403"/>
    </row>
    <row r="6" spans="1:13" ht="24.95" customHeight="1" x14ac:dyDescent="0.2">
      <c r="A6" s="2399"/>
      <c r="B6" s="2401"/>
      <c r="C6" s="2427"/>
      <c r="D6" s="2412"/>
      <c r="E6" s="2414"/>
      <c r="F6" s="2421"/>
      <c r="G6" s="232" t="s">
        <v>115</v>
      </c>
      <c r="H6" s="235" t="s">
        <v>116</v>
      </c>
      <c r="I6" s="2385"/>
      <c r="J6" s="390"/>
      <c r="K6" s="403"/>
      <c r="L6" s="480"/>
    </row>
    <row r="7" spans="1:13" ht="24.95" customHeight="1" x14ac:dyDescent="0.2">
      <c r="A7" s="2399"/>
      <c r="B7" s="2401"/>
      <c r="C7" s="2427"/>
      <c r="D7" s="2412"/>
      <c r="E7" s="2414"/>
      <c r="F7" s="2421"/>
      <c r="G7" s="232" t="s">
        <v>117</v>
      </c>
      <c r="H7" s="235" t="s">
        <v>118</v>
      </c>
      <c r="I7" s="2385"/>
      <c r="J7" s="390"/>
      <c r="K7" s="403"/>
      <c r="L7" s="403"/>
    </row>
    <row r="8" spans="1:13" ht="24.95" customHeight="1" x14ac:dyDescent="0.2">
      <c r="A8" s="2399"/>
      <c r="B8" s="2402"/>
      <c r="C8" s="2428"/>
      <c r="D8" s="2391"/>
      <c r="E8" s="2392"/>
      <c r="F8" s="2422"/>
      <c r="G8" s="231" t="s">
        <v>119</v>
      </c>
      <c r="H8" s="236" t="s">
        <v>120</v>
      </c>
      <c r="I8" s="2386"/>
      <c r="J8" s="390"/>
      <c r="K8" s="403"/>
    </row>
    <row r="9" spans="1:13" ht="75" customHeight="1" thickBot="1" x14ac:dyDescent="0.35">
      <c r="A9" s="2399"/>
      <c r="B9" s="213"/>
      <c r="C9" s="340" t="s">
        <v>143</v>
      </c>
      <c r="D9" s="2407" t="s">
        <v>212</v>
      </c>
      <c r="E9" s="2408"/>
      <c r="F9" s="476" t="s">
        <v>209</v>
      </c>
      <c r="G9" s="219" t="s">
        <v>144</v>
      </c>
      <c r="H9" s="219" t="s">
        <v>145</v>
      </c>
      <c r="I9" s="606">
        <f>ROUND(J9*BelarusV*(1-$B$57),2)</f>
        <v>3996</v>
      </c>
      <c r="J9" s="244">
        <v>3996</v>
      </c>
      <c r="K9" s="403"/>
      <c r="L9" s="403"/>
      <c r="M9" s="403"/>
    </row>
    <row r="10" spans="1:13" ht="24.95" customHeight="1" x14ac:dyDescent="0.2">
      <c r="A10" s="2447" t="s">
        <v>831</v>
      </c>
      <c r="B10" s="2403"/>
      <c r="C10" s="2404" t="s">
        <v>832</v>
      </c>
      <c r="D10" s="2409" t="s">
        <v>209</v>
      </c>
      <c r="E10" s="2411"/>
      <c r="F10" s="2420" t="s">
        <v>405</v>
      </c>
      <c r="G10" s="237" t="s">
        <v>125</v>
      </c>
      <c r="H10" s="238">
        <v>6005</v>
      </c>
      <c r="I10" s="2384">
        <f>ROUND(J10*BelarusV*(1-$B$62),2)</f>
        <v>57162</v>
      </c>
      <c r="J10" s="390">
        <v>57162</v>
      </c>
      <c r="K10" s="403"/>
      <c r="L10" s="403"/>
      <c r="M10" s="403"/>
    </row>
    <row r="11" spans="1:13" ht="24.95" customHeight="1" x14ac:dyDescent="0.2">
      <c r="A11" s="2399"/>
      <c r="B11" s="2401"/>
      <c r="C11" s="2405"/>
      <c r="D11" s="2412"/>
      <c r="E11" s="2414"/>
      <c r="F11" s="2421"/>
      <c r="G11" s="232" t="s">
        <v>115</v>
      </c>
      <c r="H11" s="235" t="s">
        <v>833</v>
      </c>
      <c r="I11" s="2385"/>
      <c r="J11" s="390"/>
      <c r="K11" s="403"/>
    </row>
    <row r="12" spans="1:13" ht="24.95" customHeight="1" x14ac:dyDescent="0.2">
      <c r="A12" s="2399"/>
      <c r="B12" s="2401"/>
      <c r="C12" s="2405"/>
      <c r="D12" s="2412"/>
      <c r="E12" s="2414"/>
      <c r="F12" s="2421"/>
      <c r="G12" s="232" t="s">
        <v>117</v>
      </c>
      <c r="H12" s="235" t="s">
        <v>118</v>
      </c>
      <c r="I12" s="2385"/>
      <c r="J12" s="390"/>
      <c r="K12" s="403"/>
    </row>
    <row r="13" spans="1:13" ht="24.95" customHeight="1" x14ac:dyDescent="0.2">
      <c r="A13" s="2399"/>
      <c r="B13" s="2402"/>
      <c r="C13" s="2406"/>
      <c r="D13" s="2391"/>
      <c r="E13" s="2392"/>
      <c r="F13" s="2422"/>
      <c r="G13" s="231" t="s">
        <v>119</v>
      </c>
      <c r="H13" s="1024" t="s">
        <v>120</v>
      </c>
      <c r="I13" s="2386"/>
      <c r="J13" s="390"/>
      <c r="K13" s="403"/>
    </row>
    <row r="14" spans="1:13" ht="75" customHeight="1" thickBot="1" x14ac:dyDescent="0.35">
      <c r="A14" s="2448"/>
      <c r="B14" s="1025"/>
      <c r="C14" s="201" t="s">
        <v>143</v>
      </c>
      <c r="D14" s="2377" t="s">
        <v>212</v>
      </c>
      <c r="E14" s="2378"/>
      <c r="F14" s="215" t="s">
        <v>209</v>
      </c>
      <c r="G14" s="220" t="s">
        <v>144</v>
      </c>
      <c r="H14" s="220" t="s">
        <v>145</v>
      </c>
      <c r="I14" s="607">
        <f>ROUND(J14*BelarusV*(1-$B$62),2)</f>
        <v>3996</v>
      </c>
      <c r="J14" s="244">
        <v>3996</v>
      </c>
      <c r="K14" s="403"/>
    </row>
    <row r="15" spans="1:13" ht="24.95" customHeight="1" x14ac:dyDescent="0.2">
      <c r="A15" s="2447" t="s">
        <v>146</v>
      </c>
      <c r="B15" s="2420"/>
      <c r="C15" s="2404" t="s">
        <v>147</v>
      </c>
      <c r="D15" s="2409" t="s">
        <v>209</v>
      </c>
      <c r="E15" s="2410"/>
      <c r="F15" s="2411"/>
      <c r="G15" s="237" t="s">
        <v>125</v>
      </c>
      <c r="H15" s="238">
        <v>6005.9004999999997</v>
      </c>
      <c r="I15" s="2384">
        <f>ROUND(J15*BelarusV*(1-$B$57),2)</f>
        <v>14452</v>
      </c>
      <c r="J15" s="390">
        <v>14452</v>
      </c>
      <c r="K15" s="403"/>
    </row>
    <row r="16" spans="1:13" ht="24.95" customHeight="1" x14ac:dyDescent="0.2">
      <c r="A16" s="2399"/>
      <c r="B16" s="2421"/>
      <c r="C16" s="2405"/>
      <c r="D16" s="2412"/>
      <c r="E16" s="2413"/>
      <c r="F16" s="2414"/>
      <c r="G16" s="232" t="s">
        <v>115</v>
      </c>
      <c r="H16" s="235" t="s">
        <v>34</v>
      </c>
      <c r="I16" s="2385"/>
      <c r="J16" s="390"/>
      <c r="K16" s="403"/>
    </row>
    <row r="17" spans="1:11" ht="24.95" customHeight="1" x14ac:dyDescent="0.2">
      <c r="A17" s="2399"/>
      <c r="B17" s="2421"/>
      <c r="C17" s="2405"/>
      <c r="D17" s="2412"/>
      <c r="E17" s="2413"/>
      <c r="F17" s="2414"/>
      <c r="G17" s="232" t="s">
        <v>117</v>
      </c>
      <c r="H17" s="235" t="s">
        <v>35</v>
      </c>
      <c r="I17" s="2385"/>
      <c r="J17" s="390"/>
      <c r="K17" s="403"/>
    </row>
    <row r="18" spans="1:11" ht="24.95" customHeight="1" x14ac:dyDescent="0.2">
      <c r="A18" s="2399"/>
      <c r="B18" s="2422"/>
      <c r="C18" s="2406"/>
      <c r="D18" s="2391"/>
      <c r="E18" s="2415"/>
      <c r="F18" s="2392"/>
      <c r="G18" s="231" t="s">
        <v>119</v>
      </c>
      <c r="H18" s="236" t="s">
        <v>120</v>
      </c>
      <c r="I18" s="2386"/>
      <c r="J18" s="390"/>
      <c r="K18" s="403"/>
    </row>
    <row r="19" spans="1:11" ht="75" customHeight="1" thickBot="1" x14ac:dyDescent="0.25">
      <c r="A19" s="2448"/>
      <c r="B19" s="215"/>
      <c r="C19" s="201" t="s">
        <v>143</v>
      </c>
      <c r="D19" s="2377" t="s">
        <v>212</v>
      </c>
      <c r="E19" s="2378"/>
      <c r="F19" s="215" t="s">
        <v>209</v>
      </c>
      <c r="G19" s="220" t="s">
        <v>144</v>
      </c>
      <c r="H19" s="220" t="s">
        <v>145</v>
      </c>
      <c r="I19" s="607">
        <f>ROUND(J19*BelarusV*(1-$B$57),2)</f>
        <v>3996</v>
      </c>
      <c r="J19" s="244">
        <v>3996</v>
      </c>
      <c r="K19" s="403"/>
    </row>
    <row r="20" spans="1:11" ht="50.25" hidden="1" customHeight="1" x14ac:dyDescent="0.3">
      <c r="A20" s="216" t="s">
        <v>148</v>
      </c>
      <c r="B20" s="217"/>
      <c r="C20" s="473" t="s">
        <v>36</v>
      </c>
      <c r="D20" s="479" t="s">
        <v>114</v>
      </c>
      <c r="E20" s="479"/>
      <c r="F20" s="478"/>
      <c r="G20" s="214"/>
      <c r="H20" s="214"/>
      <c r="I20" s="608">
        <v>4530</v>
      </c>
      <c r="J20" s="244">
        <v>0</v>
      </c>
      <c r="K20" s="403"/>
    </row>
    <row r="21" spans="1:11" ht="24.95" customHeight="1" x14ac:dyDescent="0.2">
      <c r="A21" s="2399" t="s">
        <v>148</v>
      </c>
      <c r="B21" s="2401"/>
      <c r="C21" s="239" t="s">
        <v>36</v>
      </c>
      <c r="D21" s="2423" t="s">
        <v>209</v>
      </c>
      <c r="E21" s="2424"/>
      <c r="F21" s="2425"/>
      <c r="G21" s="233" t="s">
        <v>125</v>
      </c>
      <c r="H21" s="234" t="s">
        <v>37</v>
      </c>
      <c r="I21" s="2385">
        <f>ROUND(J21*BelarusV*(1-$B$57),2)</f>
        <v>22937</v>
      </c>
      <c r="J21" s="390">
        <v>22937</v>
      </c>
      <c r="K21" s="403"/>
    </row>
    <row r="22" spans="1:11" ht="24.95" customHeight="1" x14ac:dyDescent="0.2">
      <c r="A22" s="2399"/>
      <c r="B22" s="2401"/>
      <c r="C22" s="2416" t="s">
        <v>38</v>
      </c>
      <c r="D22" s="2417"/>
      <c r="E22" s="2417"/>
      <c r="F22" s="2418"/>
      <c r="G22" s="2449" t="s">
        <v>303</v>
      </c>
      <c r="H22" s="2450"/>
      <c r="I22" s="2385"/>
      <c r="J22" s="390"/>
      <c r="K22" s="403"/>
    </row>
    <row r="23" spans="1:11" ht="24.95" customHeight="1" x14ac:dyDescent="0.2">
      <c r="A23" s="2399"/>
      <c r="B23" s="2401"/>
      <c r="C23" s="2416" t="s">
        <v>39</v>
      </c>
      <c r="D23" s="2417"/>
      <c r="E23" s="2417"/>
      <c r="F23" s="2418"/>
      <c r="G23" s="2449" t="s">
        <v>302</v>
      </c>
      <c r="H23" s="2450"/>
      <c r="I23" s="2385"/>
      <c r="J23" s="390"/>
      <c r="K23" s="403"/>
    </row>
    <row r="24" spans="1:11" ht="24.95" customHeight="1" x14ac:dyDescent="0.2">
      <c r="A24" s="2399"/>
      <c r="B24" s="2401"/>
      <c r="C24" s="2416" t="s">
        <v>40</v>
      </c>
      <c r="D24" s="2417"/>
      <c r="E24" s="2417"/>
      <c r="F24" s="2418"/>
      <c r="G24" s="2451" t="s">
        <v>41</v>
      </c>
      <c r="H24" s="2452"/>
      <c r="I24" s="2385"/>
      <c r="J24" s="390"/>
      <c r="K24" s="403"/>
    </row>
    <row r="25" spans="1:11" ht="24.95" customHeight="1" thickBot="1" x14ac:dyDescent="0.25">
      <c r="A25" s="2448"/>
      <c r="B25" s="2419"/>
      <c r="C25" s="2456" t="s">
        <v>214</v>
      </c>
      <c r="D25" s="2457"/>
      <c r="E25" s="2457"/>
      <c r="F25" s="2458"/>
      <c r="G25" s="2453" t="s">
        <v>149</v>
      </c>
      <c r="H25" s="2454"/>
      <c r="I25" s="2387"/>
      <c r="J25" s="244"/>
      <c r="K25" s="403"/>
    </row>
    <row r="26" spans="1:11" ht="24.95" customHeight="1" x14ac:dyDescent="0.2">
      <c r="A26" s="2447" t="s">
        <v>210</v>
      </c>
      <c r="B26" s="2403"/>
      <c r="C26" s="341" t="s">
        <v>211</v>
      </c>
      <c r="D26" s="2423" t="s">
        <v>212</v>
      </c>
      <c r="E26" s="2424"/>
      <c r="F26" s="2425"/>
      <c r="G26" s="233" t="s">
        <v>125</v>
      </c>
      <c r="H26" s="234" t="s">
        <v>37</v>
      </c>
      <c r="I26" s="2384">
        <f>ROUND(J26*BelarusV*(1-$B$57),2)</f>
        <v>19911</v>
      </c>
      <c r="J26" s="390">
        <v>19911</v>
      </c>
      <c r="K26" s="403"/>
    </row>
    <row r="27" spans="1:11" ht="24.95" customHeight="1" x14ac:dyDescent="0.2">
      <c r="A27" s="2399"/>
      <c r="B27" s="2401"/>
      <c r="C27" s="2416" t="s">
        <v>38</v>
      </c>
      <c r="D27" s="2417"/>
      <c r="E27" s="2417"/>
      <c r="F27" s="2418"/>
      <c r="G27" s="2449" t="s">
        <v>304</v>
      </c>
      <c r="H27" s="2450"/>
      <c r="I27" s="2385"/>
      <c r="J27" s="390"/>
      <c r="K27" s="403"/>
    </row>
    <row r="28" spans="1:11" ht="24.95" customHeight="1" x14ac:dyDescent="0.2">
      <c r="A28" s="2399"/>
      <c r="B28" s="2401"/>
      <c r="C28" s="2416" t="s">
        <v>39</v>
      </c>
      <c r="D28" s="2417"/>
      <c r="E28" s="2417"/>
      <c r="F28" s="2418"/>
      <c r="G28" s="2449" t="s">
        <v>213</v>
      </c>
      <c r="H28" s="2450"/>
      <c r="I28" s="2385"/>
      <c r="J28" s="390"/>
      <c r="K28" s="403"/>
    </row>
    <row r="29" spans="1:11" ht="24.95" customHeight="1" x14ac:dyDescent="0.2">
      <c r="A29" s="2399"/>
      <c r="B29" s="2401"/>
      <c r="C29" s="2416" t="s">
        <v>40</v>
      </c>
      <c r="D29" s="2417"/>
      <c r="E29" s="2417"/>
      <c r="F29" s="2418"/>
      <c r="G29" s="2451" t="s">
        <v>305</v>
      </c>
      <c r="H29" s="2452"/>
      <c r="I29" s="2385"/>
      <c r="J29" s="390"/>
      <c r="K29" s="403"/>
    </row>
    <row r="30" spans="1:11" ht="24.95" customHeight="1" thickBot="1" x14ac:dyDescent="0.25">
      <c r="A30" s="2448"/>
      <c r="B30" s="2419"/>
      <c r="C30" s="2456" t="s">
        <v>306</v>
      </c>
      <c r="D30" s="2457"/>
      <c r="E30" s="2457"/>
      <c r="F30" s="2458"/>
      <c r="G30" s="2453" t="s">
        <v>149</v>
      </c>
      <c r="H30" s="2454"/>
      <c r="I30" s="2387"/>
      <c r="J30" s="390"/>
      <c r="K30" s="403"/>
    </row>
    <row r="31" spans="1:11" ht="50.1" customHeight="1" x14ac:dyDescent="0.2">
      <c r="A31" s="2447" t="s">
        <v>150</v>
      </c>
      <c r="B31" s="2403"/>
      <c r="C31" s="2426" t="s">
        <v>151</v>
      </c>
      <c r="D31" s="2409" t="s">
        <v>209</v>
      </c>
      <c r="E31" s="2410"/>
      <c r="F31" s="2411"/>
      <c r="G31" s="237" t="s">
        <v>125</v>
      </c>
      <c r="H31" s="240" t="s">
        <v>142</v>
      </c>
      <c r="I31" s="2384">
        <f>ROUND(J31*BelarusV*(1-$B$57),2)</f>
        <v>26891</v>
      </c>
      <c r="J31" s="390">
        <v>26891</v>
      </c>
      <c r="K31" s="403"/>
    </row>
    <row r="32" spans="1:11" ht="24.95" customHeight="1" x14ac:dyDescent="0.2">
      <c r="A32" s="2399"/>
      <c r="B32" s="2401"/>
      <c r="C32" s="2427"/>
      <c r="D32" s="2412"/>
      <c r="E32" s="2413"/>
      <c r="F32" s="2414"/>
      <c r="G32" s="232" t="s">
        <v>115</v>
      </c>
      <c r="H32" s="235" t="s">
        <v>42</v>
      </c>
      <c r="I32" s="2385"/>
      <c r="J32" s="390"/>
      <c r="K32" s="403"/>
    </row>
    <row r="33" spans="1:11" ht="24.95" customHeight="1" x14ac:dyDescent="0.2">
      <c r="A33" s="2399"/>
      <c r="B33" s="2401"/>
      <c r="C33" s="2427"/>
      <c r="D33" s="2412"/>
      <c r="E33" s="2413"/>
      <c r="F33" s="2414"/>
      <c r="G33" s="232" t="s">
        <v>117</v>
      </c>
      <c r="H33" s="235" t="s">
        <v>118</v>
      </c>
      <c r="I33" s="2385"/>
      <c r="J33" s="390"/>
      <c r="K33" s="403"/>
    </row>
    <row r="34" spans="1:11" ht="24.95" customHeight="1" x14ac:dyDescent="0.2">
      <c r="A34" s="2399"/>
      <c r="B34" s="2402"/>
      <c r="C34" s="2428"/>
      <c r="D34" s="2391"/>
      <c r="E34" s="2415"/>
      <c r="F34" s="2392"/>
      <c r="G34" s="231" t="s">
        <v>119</v>
      </c>
      <c r="H34" s="236" t="s">
        <v>120</v>
      </c>
      <c r="I34" s="2386"/>
      <c r="J34" s="390"/>
      <c r="K34" s="403"/>
    </row>
    <row r="35" spans="1:11" s="25" customFormat="1" ht="50.1" customHeight="1" x14ac:dyDescent="0.2">
      <c r="A35" s="2399"/>
      <c r="B35" s="2400"/>
      <c r="C35" s="340" t="s">
        <v>128</v>
      </c>
      <c r="D35" s="2388" t="s">
        <v>405</v>
      </c>
      <c r="E35" s="2390"/>
      <c r="F35" s="482" t="s">
        <v>152</v>
      </c>
      <c r="G35" s="2381" t="s">
        <v>153</v>
      </c>
      <c r="H35" s="2382"/>
      <c r="I35" s="609">
        <f t="shared" ref="I35:I49" si="0">ROUND(J35*BelarusV*(1-$B$57),2)</f>
        <v>8964</v>
      </c>
      <c r="J35" s="244">
        <v>8964</v>
      </c>
      <c r="K35" s="403"/>
    </row>
    <row r="36" spans="1:11" s="25" customFormat="1" ht="50.1" customHeight="1" thickBot="1" x14ac:dyDescent="0.25">
      <c r="A36" s="2448"/>
      <c r="B36" s="2419"/>
      <c r="C36" s="201" t="s">
        <v>438</v>
      </c>
      <c r="D36" s="2383" t="s">
        <v>405</v>
      </c>
      <c r="E36" s="2378"/>
      <c r="F36" s="202" t="s">
        <v>152</v>
      </c>
      <c r="G36" s="2379" t="s">
        <v>154</v>
      </c>
      <c r="H36" s="2380"/>
      <c r="I36" s="607">
        <f t="shared" si="0"/>
        <v>2956</v>
      </c>
      <c r="J36" s="244">
        <v>2956</v>
      </c>
      <c r="K36" s="403"/>
    </row>
    <row r="37" spans="1:11" s="25" customFormat="1" ht="75" customHeight="1" x14ac:dyDescent="0.3">
      <c r="A37" s="203" t="s">
        <v>400</v>
      </c>
      <c r="B37" s="475"/>
      <c r="C37" s="339" t="s">
        <v>401</v>
      </c>
      <c r="D37" s="2391" t="s">
        <v>212</v>
      </c>
      <c r="E37" s="2392"/>
      <c r="F37" s="477" t="s">
        <v>209</v>
      </c>
      <c r="G37" s="2393" t="s">
        <v>154</v>
      </c>
      <c r="H37" s="2394"/>
      <c r="I37" s="608">
        <f t="shared" si="0"/>
        <v>4706</v>
      </c>
      <c r="J37" s="244">
        <v>4706</v>
      </c>
      <c r="K37" s="403"/>
    </row>
    <row r="38" spans="1:11" s="25" customFormat="1" ht="75" customHeight="1" x14ac:dyDescent="0.3">
      <c r="A38" s="205" t="s">
        <v>402</v>
      </c>
      <c r="B38" s="483"/>
      <c r="C38" s="338" t="s">
        <v>403</v>
      </c>
      <c r="D38" s="2395" t="s">
        <v>404</v>
      </c>
      <c r="E38" s="2395"/>
      <c r="F38" s="476" t="s">
        <v>212</v>
      </c>
      <c r="G38" s="2396" t="s">
        <v>154</v>
      </c>
      <c r="H38" s="2397"/>
      <c r="I38" s="606">
        <f t="shared" si="0"/>
        <v>3000</v>
      </c>
      <c r="J38" s="244">
        <v>3000</v>
      </c>
      <c r="K38" s="403"/>
    </row>
    <row r="39" spans="1:11" s="25" customFormat="1" ht="75" customHeight="1" x14ac:dyDescent="0.2">
      <c r="A39" s="205" t="s">
        <v>155</v>
      </c>
      <c r="B39" s="206"/>
      <c r="C39" s="338" t="s">
        <v>156</v>
      </c>
      <c r="D39" s="2395" t="s">
        <v>212</v>
      </c>
      <c r="E39" s="2395"/>
      <c r="F39" s="200" t="s">
        <v>152</v>
      </c>
      <c r="G39" s="484" t="s">
        <v>125</v>
      </c>
      <c r="H39" s="484" t="s">
        <v>138</v>
      </c>
      <c r="I39" s="609">
        <f t="shared" si="0"/>
        <v>2350</v>
      </c>
      <c r="J39" s="244">
        <v>2350</v>
      </c>
      <c r="K39" s="403"/>
    </row>
    <row r="40" spans="1:11" s="25" customFormat="1" ht="75" customHeight="1" x14ac:dyDescent="0.2">
      <c r="A40" s="203" t="s">
        <v>51</v>
      </c>
      <c r="B40" s="204"/>
      <c r="C40" s="339" t="s">
        <v>52</v>
      </c>
      <c r="D40" s="2388" t="s">
        <v>218</v>
      </c>
      <c r="E40" s="2389"/>
      <c r="F40" s="2389"/>
      <c r="G40" s="2389"/>
      <c r="H40" s="2390"/>
      <c r="I40" s="610">
        <f t="shared" si="0"/>
        <v>604</v>
      </c>
      <c r="J40" s="244">
        <v>604</v>
      </c>
      <c r="K40" s="403"/>
    </row>
    <row r="41" spans="1:11" ht="75" customHeight="1" x14ac:dyDescent="0.2">
      <c r="A41" s="1299" t="s">
        <v>53</v>
      </c>
      <c r="B41" s="477"/>
      <c r="C41" s="338" t="s">
        <v>55</v>
      </c>
      <c r="D41" s="2462" t="s">
        <v>407</v>
      </c>
      <c r="E41" s="2462"/>
      <c r="F41" s="2462"/>
      <c r="G41" s="2381" t="s">
        <v>54</v>
      </c>
      <c r="H41" s="2382"/>
      <c r="I41" s="610">
        <f t="shared" si="0"/>
        <v>3680</v>
      </c>
      <c r="J41" s="244">
        <v>3680</v>
      </c>
      <c r="K41" s="403"/>
    </row>
    <row r="42" spans="1:11" s="25" customFormat="1" ht="75" customHeight="1" x14ac:dyDescent="0.2">
      <c r="A42" s="205" t="s">
        <v>53</v>
      </c>
      <c r="B42" s="206"/>
      <c r="C42" s="338" t="s">
        <v>139</v>
      </c>
      <c r="D42" s="2462" t="s">
        <v>408</v>
      </c>
      <c r="E42" s="2462"/>
      <c r="F42" s="2462"/>
      <c r="G42" s="2381" t="s">
        <v>57</v>
      </c>
      <c r="H42" s="2382"/>
      <c r="I42" s="611">
        <f t="shared" si="0"/>
        <v>1271</v>
      </c>
      <c r="J42" s="244">
        <v>1271</v>
      </c>
      <c r="K42" s="403"/>
    </row>
    <row r="43" spans="1:11" s="25" customFormat="1" ht="24.95" customHeight="1" x14ac:dyDescent="0.2">
      <c r="A43" s="2445" t="s">
        <v>58</v>
      </c>
      <c r="B43" s="2443"/>
      <c r="C43" s="322" t="s">
        <v>292</v>
      </c>
      <c r="D43" s="2407" t="s">
        <v>406</v>
      </c>
      <c r="E43" s="2463"/>
      <c r="F43" s="2408"/>
      <c r="G43" s="2396" t="s">
        <v>59</v>
      </c>
      <c r="H43" s="2397"/>
      <c r="I43" s="610">
        <f t="shared" si="0"/>
        <v>1712</v>
      </c>
      <c r="J43" s="244">
        <v>1712</v>
      </c>
      <c r="K43" s="403"/>
    </row>
    <row r="44" spans="1:11" ht="24.95" customHeight="1" x14ac:dyDescent="0.2">
      <c r="A44" s="2446"/>
      <c r="B44" s="2422"/>
      <c r="C44" s="322" t="s">
        <v>293</v>
      </c>
      <c r="D44" s="2391"/>
      <c r="E44" s="2415"/>
      <c r="F44" s="2392"/>
      <c r="G44" s="2464"/>
      <c r="H44" s="2465"/>
      <c r="I44" s="610">
        <f t="shared" si="0"/>
        <v>1880</v>
      </c>
      <c r="J44" s="244">
        <v>1880</v>
      </c>
      <c r="K44" s="403"/>
    </row>
    <row r="45" spans="1:11" ht="75" customHeight="1" x14ac:dyDescent="0.2">
      <c r="A45" s="205" t="s">
        <v>83</v>
      </c>
      <c r="B45" s="206"/>
      <c r="C45" s="207" t="s">
        <v>84</v>
      </c>
      <c r="D45" s="208" t="s">
        <v>409</v>
      </c>
      <c r="E45" s="209" t="s">
        <v>410</v>
      </c>
      <c r="F45" s="209" t="s">
        <v>411</v>
      </c>
      <c r="G45" s="2381" t="s">
        <v>86</v>
      </c>
      <c r="H45" s="2382"/>
      <c r="I45" s="610">
        <f t="shared" si="0"/>
        <v>5937</v>
      </c>
      <c r="J45" s="244">
        <v>5937</v>
      </c>
      <c r="K45" s="403"/>
    </row>
    <row r="46" spans="1:11" ht="75" customHeight="1" x14ac:dyDescent="0.2">
      <c r="A46" s="205" t="s">
        <v>87</v>
      </c>
      <c r="B46" s="206"/>
      <c r="C46" s="338" t="s">
        <v>88</v>
      </c>
      <c r="D46" s="2388" t="s">
        <v>412</v>
      </c>
      <c r="E46" s="2390"/>
      <c r="F46" s="474" t="s">
        <v>413</v>
      </c>
      <c r="G46" s="2381" t="s">
        <v>157</v>
      </c>
      <c r="H46" s="2382"/>
      <c r="I46" s="610">
        <f t="shared" si="0"/>
        <v>7826</v>
      </c>
      <c r="J46" s="244">
        <v>7826</v>
      </c>
      <c r="K46" s="403"/>
    </row>
    <row r="47" spans="1:11" ht="75" customHeight="1" x14ac:dyDescent="0.2">
      <c r="A47" s="205" t="s">
        <v>94</v>
      </c>
      <c r="B47" s="206"/>
      <c r="C47" s="207" t="s">
        <v>95</v>
      </c>
      <c r="D47" s="2388" t="s">
        <v>414</v>
      </c>
      <c r="E47" s="2390"/>
      <c r="F47" s="209" t="s">
        <v>415</v>
      </c>
      <c r="G47" s="2381" t="s">
        <v>96</v>
      </c>
      <c r="H47" s="2382"/>
      <c r="I47" s="610">
        <f t="shared" si="0"/>
        <v>6295</v>
      </c>
      <c r="J47" s="244">
        <v>6295</v>
      </c>
      <c r="K47" s="403"/>
    </row>
    <row r="48" spans="1:11" ht="99.95" customHeight="1" x14ac:dyDescent="0.2">
      <c r="A48" s="205" t="s">
        <v>309</v>
      </c>
      <c r="B48" s="206"/>
      <c r="C48" s="338" t="s">
        <v>121</v>
      </c>
      <c r="D48" s="2388" t="s">
        <v>416</v>
      </c>
      <c r="E48" s="2389"/>
      <c r="F48" s="2390"/>
      <c r="G48" s="2381" t="s">
        <v>47</v>
      </c>
      <c r="H48" s="2382"/>
      <c r="I48" s="610">
        <f t="shared" si="0"/>
        <v>96558</v>
      </c>
      <c r="J48" s="244">
        <v>96558</v>
      </c>
      <c r="K48" s="403"/>
    </row>
    <row r="49" spans="1:13" ht="75" customHeight="1" x14ac:dyDescent="0.2">
      <c r="A49" s="205" t="s">
        <v>48</v>
      </c>
      <c r="B49" s="206"/>
      <c r="C49" s="338" t="s">
        <v>49</v>
      </c>
      <c r="D49" s="210" t="s">
        <v>85</v>
      </c>
      <c r="E49" s="2388" t="s">
        <v>153</v>
      </c>
      <c r="F49" s="2390"/>
      <c r="G49" s="2381" t="s">
        <v>50</v>
      </c>
      <c r="H49" s="2382"/>
      <c r="I49" s="610">
        <f t="shared" si="0"/>
        <v>2588</v>
      </c>
      <c r="J49" s="244">
        <v>2588</v>
      </c>
      <c r="K49" s="403"/>
    </row>
    <row r="50" spans="1:13" ht="45" customHeight="1" x14ac:dyDescent="0.2">
      <c r="A50" s="2459" t="s">
        <v>727</v>
      </c>
      <c r="B50" s="2460"/>
      <c r="C50" s="2460"/>
      <c r="D50" s="2460"/>
      <c r="E50" s="2460"/>
      <c r="F50" s="2460"/>
      <c r="G50" s="2460"/>
      <c r="H50" s="2460"/>
      <c r="I50" s="2461"/>
      <c r="J50" s="244"/>
      <c r="K50" s="403"/>
    </row>
    <row r="51" spans="1:13" s="25" customFormat="1" ht="26.25" customHeight="1" x14ac:dyDescent="0.3">
      <c r="A51" s="221" t="s">
        <v>206</v>
      </c>
      <c r="B51" s="218"/>
      <c r="C51" s="218"/>
      <c r="D51" s="218"/>
      <c r="E51" s="218"/>
      <c r="F51" s="218"/>
      <c r="G51" s="218"/>
      <c r="H51" s="218"/>
      <c r="I51" s="211"/>
      <c r="J51" s="321"/>
      <c r="K51" s="211"/>
    </row>
    <row r="52" spans="1:13" s="25" customFormat="1" ht="22.5" customHeight="1" x14ac:dyDescent="0.3">
      <c r="A52" s="221" t="s">
        <v>205</v>
      </c>
      <c r="B52" s="218"/>
      <c r="C52" s="218"/>
      <c r="D52" s="218"/>
      <c r="E52" s="218"/>
      <c r="F52" s="218"/>
      <c r="G52" s="218"/>
      <c r="H52" s="218"/>
      <c r="I52" s="211"/>
      <c r="J52" s="321"/>
      <c r="K52" s="211"/>
    </row>
    <row r="53" spans="1:13" s="25" customFormat="1" x14ac:dyDescent="0.3">
      <c r="A53" s="221" t="s">
        <v>207</v>
      </c>
      <c r="B53" s="218"/>
      <c r="C53" s="218"/>
      <c r="D53" s="218"/>
      <c r="E53" s="218"/>
      <c r="F53" s="218"/>
      <c r="G53" s="218"/>
      <c r="H53" s="218"/>
      <c r="I53" s="211"/>
      <c r="J53" s="321"/>
      <c r="K53" s="211"/>
    </row>
    <row r="54" spans="1:13" s="25" customFormat="1" ht="24.95" customHeight="1" x14ac:dyDescent="0.3">
      <c r="A54" s="218"/>
      <c r="B54" s="218"/>
      <c r="C54" s="218"/>
      <c r="D54" s="218"/>
      <c r="E54" s="218"/>
      <c r="F54" s="218"/>
      <c r="G54" s="218"/>
      <c r="H54" s="218"/>
      <c r="I54" s="211"/>
      <c r="J54" s="321"/>
      <c r="K54" s="211"/>
    </row>
    <row r="55" spans="1:13" s="25" customFormat="1" ht="24.9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321"/>
      <c r="K55" s="211"/>
    </row>
    <row r="56" spans="1:13" s="25" customFormat="1" ht="24.9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321"/>
      <c r="K56" s="211"/>
    </row>
    <row r="57" spans="1:13" s="25" customFormat="1" ht="45.75" customHeight="1" x14ac:dyDescent="0.2">
      <c r="A57" s="651" t="s">
        <v>26</v>
      </c>
      <c r="B57" s="650">
        <v>0</v>
      </c>
      <c r="C57" s="649"/>
      <c r="D57" s="649"/>
      <c r="E57" s="649"/>
      <c r="F57" s="649"/>
      <c r="H57" s="24"/>
      <c r="I57" s="24"/>
      <c r="J57" s="321"/>
      <c r="K57" s="211"/>
    </row>
    <row r="58" spans="1:13" s="25" customFormat="1" ht="111.75" customHeight="1" x14ac:dyDescent="0.2">
      <c r="A58" s="24"/>
      <c r="B58" s="24"/>
      <c r="C58" s="26"/>
      <c r="D58" s="26"/>
      <c r="E58" s="24"/>
      <c r="F58" s="24"/>
      <c r="G58" s="24"/>
      <c r="H58" s="24"/>
      <c r="I58" s="24"/>
      <c r="J58" s="321"/>
      <c r="K58" s="211"/>
    </row>
    <row r="59" spans="1:13" s="25" customFormat="1" ht="75.75" customHeight="1" x14ac:dyDescent="0.2">
      <c r="A59" s="24"/>
      <c r="B59" s="24"/>
      <c r="C59" s="26"/>
      <c r="D59" s="26"/>
      <c r="E59" s="24"/>
      <c r="F59" s="24"/>
      <c r="G59" s="24"/>
      <c r="H59" s="24"/>
      <c r="I59" s="24"/>
      <c r="J59" s="321"/>
      <c r="K59" s="211"/>
      <c r="M59" s="72"/>
    </row>
    <row r="60" spans="1:13" s="25" customFormat="1" ht="58.5" customHeight="1" x14ac:dyDescent="0.2">
      <c r="A60" s="24"/>
      <c r="B60" s="24"/>
      <c r="C60" s="26"/>
      <c r="D60" s="26"/>
      <c r="E60" s="24"/>
      <c r="F60" s="24"/>
      <c r="G60" s="24"/>
      <c r="H60" s="24"/>
      <c r="I60" s="24"/>
      <c r="J60" s="321"/>
      <c r="K60" s="211"/>
    </row>
    <row r="61" spans="1:13" s="25" customFormat="1" ht="58.5" customHeight="1" x14ac:dyDescent="0.2">
      <c r="A61" s="24"/>
      <c r="B61" s="24"/>
      <c r="C61" s="26"/>
      <c r="D61" s="26"/>
      <c r="E61" s="24"/>
      <c r="F61" s="24"/>
      <c r="G61" s="24"/>
      <c r="H61" s="24"/>
      <c r="I61" s="24"/>
      <c r="J61" s="321"/>
      <c r="K61" s="211"/>
    </row>
    <row r="62" spans="1:13" s="25" customFormat="1" ht="78.75" customHeight="1" x14ac:dyDescent="0.2">
      <c r="A62" s="24"/>
      <c r="B62" s="24"/>
      <c r="C62" s="26"/>
      <c r="D62" s="26"/>
      <c r="E62" s="24"/>
      <c r="F62" s="24"/>
      <c r="G62" s="24"/>
      <c r="H62" s="24"/>
      <c r="I62" s="24"/>
      <c r="J62" s="321"/>
      <c r="K62" s="211"/>
    </row>
    <row r="63" spans="1:13" s="25" customFormat="1" ht="64.5" customHeight="1" x14ac:dyDescent="0.2">
      <c r="A63" s="24"/>
      <c r="B63" s="24"/>
      <c r="C63" s="26"/>
      <c r="D63" s="26"/>
      <c r="E63" s="24"/>
      <c r="F63" s="24"/>
      <c r="G63" s="24"/>
      <c r="H63" s="24"/>
      <c r="I63" s="24"/>
      <c r="J63" s="321"/>
      <c r="K63" s="211"/>
    </row>
    <row r="64" spans="1:13" s="25" customFormat="1" ht="18.75" customHeight="1" x14ac:dyDescent="0.2">
      <c r="A64" s="24"/>
      <c r="B64" s="24"/>
      <c r="C64" s="26"/>
      <c r="D64" s="26"/>
      <c r="E64" s="24"/>
      <c r="F64" s="24"/>
      <c r="G64" s="24"/>
      <c r="H64" s="24"/>
      <c r="I64" s="24"/>
      <c r="J64" s="321"/>
      <c r="K64" s="211"/>
    </row>
    <row r="65" spans="1:11" s="25" customFormat="1" ht="18.75" customHeight="1" x14ac:dyDescent="0.2">
      <c r="A65" s="24"/>
      <c r="B65" s="24"/>
      <c r="C65" s="26"/>
      <c r="D65" s="26"/>
      <c r="E65" s="24"/>
      <c r="F65" s="24"/>
      <c r="G65" s="24"/>
      <c r="H65" s="24"/>
      <c r="I65" s="24"/>
      <c r="J65" s="321"/>
      <c r="K65" s="211"/>
    </row>
    <row r="66" spans="1:11" s="25" customFormat="1" ht="18.75" customHeight="1" x14ac:dyDescent="0.2">
      <c r="A66" s="24"/>
      <c r="B66" s="24"/>
      <c r="C66" s="26"/>
      <c r="D66" s="26"/>
      <c r="E66" s="24"/>
      <c r="F66" s="24"/>
      <c r="G66" s="24"/>
      <c r="H66" s="24"/>
      <c r="I66" s="24"/>
      <c r="J66" s="321"/>
      <c r="K66" s="211"/>
    </row>
    <row r="67" spans="1:11" ht="16.5" customHeight="1" x14ac:dyDescent="0.25"/>
    <row r="68" spans="1:11" ht="60" customHeight="1" x14ac:dyDescent="0.25"/>
    <row r="70" spans="1:11" s="25" customFormat="1" x14ac:dyDescent="0.2">
      <c r="A70" s="24"/>
      <c r="B70" s="24"/>
      <c r="C70" s="26"/>
      <c r="D70" s="26"/>
      <c r="E70" s="24"/>
      <c r="F70" s="24"/>
      <c r="G70" s="24"/>
      <c r="H70" s="24"/>
      <c r="I70" s="24"/>
      <c r="J70" s="321"/>
      <c r="K70" s="211"/>
    </row>
    <row r="74" spans="1:11" ht="60" customHeight="1" x14ac:dyDescent="0.25">
      <c r="C74" s="24"/>
      <c r="D74" s="24"/>
    </row>
  </sheetData>
  <mergeCells count="86">
    <mergeCell ref="A50:I50"/>
    <mergeCell ref="B43:B44"/>
    <mergeCell ref="D39:E39"/>
    <mergeCell ref="D42:F42"/>
    <mergeCell ref="D43:F44"/>
    <mergeCell ref="E49:F49"/>
    <mergeCell ref="D48:F48"/>
    <mergeCell ref="G48:H48"/>
    <mergeCell ref="G49:H49"/>
    <mergeCell ref="G45:H45"/>
    <mergeCell ref="D46:E46"/>
    <mergeCell ref="D47:E47"/>
    <mergeCell ref="G46:H46"/>
    <mergeCell ref="G47:H47"/>
    <mergeCell ref="G43:H44"/>
    <mergeCell ref="D41:F41"/>
    <mergeCell ref="C2:E2"/>
    <mergeCell ref="A26:A30"/>
    <mergeCell ref="B26:B30"/>
    <mergeCell ref="D26:F26"/>
    <mergeCell ref="C27:F27"/>
    <mergeCell ref="C30:F30"/>
    <mergeCell ref="B15:B18"/>
    <mergeCell ref="A15:A19"/>
    <mergeCell ref="A21:A25"/>
    <mergeCell ref="C22:F22"/>
    <mergeCell ref="C23:F23"/>
    <mergeCell ref="C24:F24"/>
    <mergeCell ref="C25:F25"/>
    <mergeCell ref="A10:A14"/>
    <mergeCell ref="B3:B4"/>
    <mergeCell ref="A3:A4"/>
    <mergeCell ref="I10:I13"/>
    <mergeCell ref="A43:A44"/>
    <mergeCell ref="B35:B36"/>
    <mergeCell ref="A31:A36"/>
    <mergeCell ref="G23:H23"/>
    <mergeCell ref="G24:H24"/>
    <mergeCell ref="G30:H30"/>
    <mergeCell ref="G25:H25"/>
    <mergeCell ref="G27:H27"/>
    <mergeCell ref="G28:H28"/>
    <mergeCell ref="G29:H29"/>
    <mergeCell ref="G41:H41"/>
    <mergeCell ref="G22:H22"/>
    <mergeCell ref="D19:E19"/>
    <mergeCell ref="G42:H42"/>
    <mergeCell ref="D35:E35"/>
    <mergeCell ref="I3:I4"/>
    <mergeCell ref="D4:E4"/>
    <mergeCell ref="I5:I8"/>
    <mergeCell ref="C3:C4"/>
    <mergeCell ref="D3:F3"/>
    <mergeCell ref="G3:H4"/>
    <mergeCell ref="F5:F8"/>
    <mergeCell ref="D5:E8"/>
    <mergeCell ref="C5:C8"/>
    <mergeCell ref="A5:A9"/>
    <mergeCell ref="B5:B8"/>
    <mergeCell ref="B31:B34"/>
    <mergeCell ref="C15:C18"/>
    <mergeCell ref="D9:E9"/>
    <mergeCell ref="D15:F18"/>
    <mergeCell ref="C29:F29"/>
    <mergeCell ref="D31:F34"/>
    <mergeCell ref="B21:B25"/>
    <mergeCell ref="C28:F28"/>
    <mergeCell ref="B10:B13"/>
    <mergeCell ref="C10:C13"/>
    <mergeCell ref="D10:E13"/>
    <mergeCell ref="F10:F13"/>
    <mergeCell ref="D21:F21"/>
    <mergeCell ref="C31:C34"/>
    <mergeCell ref="D40:H40"/>
    <mergeCell ref="D37:E37"/>
    <mergeCell ref="G37:H37"/>
    <mergeCell ref="D38:E38"/>
    <mergeCell ref="G38:H38"/>
    <mergeCell ref="D14:E14"/>
    <mergeCell ref="G36:H36"/>
    <mergeCell ref="G35:H35"/>
    <mergeCell ref="D36:E36"/>
    <mergeCell ref="I15:I18"/>
    <mergeCell ref="I26:I30"/>
    <mergeCell ref="I31:I34"/>
    <mergeCell ref="I21:I25"/>
  </mergeCells>
  <phoneticPr fontId="26" type="noConversion"/>
  <printOptions horizontalCentered="1"/>
  <pageMargins left="3.937007874015748E-2" right="3.937007874015748E-2" top="3.937007874015748E-2" bottom="3.937007874015748E-2" header="0.31496062992125984" footer="0.31496062992125984"/>
  <pageSetup paperSize="9" scale="36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A906-6ED4-4C5E-8691-26A5E710D392}">
  <sheetPr>
    <tabColor theme="1"/>
    <pageSetUpPr fitToPage="1"/>
  </sheetPr>
  <dimension ref="A1:AG409"/>
  <sheetViews>
    <sheetView showGridLines="0" zoomScale="55" zoomScaleNormal="55" zoomScaleSheetLayoutView="55" zoomScalePageLayoutView="25" workbookViewId="0">
      <selection activeCell="Q2" sqref="Q2:R2"/>
    </sheetView>
  </sheetViews>
  <sheetFormatPr defaultRowHeight="12.75" x14ac:dyDescent="0.2"/>
  <cols>
    <col min="1" max="2" width="15.7109375" style="253" customWidth="1"/>
    <col min="3" max="3" width="25.7109375" style="253" customWidth="1"/>
    <col min="4" max="4" width="35.7109375" style="253" customWidth="1"/>
    <col min="5" max="7" width="15.7109375" style="253" customWidth="1"/>
    <col min="8" max="8" width="15.7109375" style="1038" customWidth="1"/>
    <col min="9" max="18" width="15.7109375" style="253" customWidth="1"/>
    <col min="19" max="19" width="17.28515625" style="253" bestFit="1" customWidth="1"/>
    <col min="20" max="33" width="15.7109375" style="253" hidden="1" customWidth="1"/>
    <col min="34" max="16384" width="9.140625" style="253"/>
  </cols>
  <sheetData>
    <row r="1" spans="1:33" ht="75.75" customHeight="1" x14ac:dyDescent="0.2">
      <c r="B1" s="1034"/>
      <c r="C1" s="1034"/>
      <c r="D1" s="1034"/>
      <c r="G1" s="395"/>
      <c r="H1" s="1465"/>
      <c r="I1" s="1465"/>
      <c r="J1" s="1465"/>
      <c r="K1" s="1465"/>
      <c r="L1" s="1465"/>
      <c r="M1" s="1465"/>
      <c r="N1" s="1034"/>
    </row>
    <row r="2" spans="1:33" ht="33" customHeight="1" x14ac:dyDescent="0.3">
      <c r="A2" s="252"/>
      <c r="B2" s="252"/>
      <c r="C2" s="252"/>
      <c r="E2" s="1800" t="s">
        <v>937</v>
      </c>
      <c r="F2" s="1800"/>
      <c r="G2" s="1800"/>
      <c r="H2" s="1800"/>
      <c r="I2" s="1800"/>
      <c r="J2" s="1800"/>
      <c r="K2" s="1800"/>
      <c r="L2" s="1800"/>
      <c r="M2" s="1800"/>
      <c r="N2" s="395"/>
      <c r="P2" s="141" t="s">
        <v>132</v>
      </c>
      <c r="Q2" s="2467">
        <f>'Панельные ограждения GL (стр.1)'!N2</f>
        <v>46197</v>
      </c>
      <c r="R2" s="2467"/>
    </row>
    <row r="3" spans="1:33" ht="24.95" customHeight="1" x14ac:dyDescent="0.3">
      <c r="A3" s="252"/>
      <c r="B3" s="252"/>
      <c r="C3" s="252"/>
      <c r="D3" s="252"/>
      <c r="E3" s="2481" t="s">
        <v>936</v>
      </c>
      <c r="F3" s="2482"/>
      <c r="G3" s="2482"/>
      <c r="H3" s="2482"/>
      <c r="I3" s="2482"/>
      <c r="J3" s="2482"/>
      <c r="K3" s="2482"/>
      <c r="L3" s="2482"/>
      <c r="M3" s="2482"/>
      <c r="N3" s="2482"/>
      <c r="O3" s="2482"/>
      <c r="P3" s="2482"/>
      <c r="Q3" s="2482"/>
      <c r="R3" s="2483"/>
    </row>
    <row r="4" spans="1:33" ht="24.95" customHeight="1" x14ac:dyDescent="0.3">
      <c r="A4" s="252"/>
      <c r="B4" s="16"/>
      <c r="C4" s="2476" t="s">
        <v>934</v>
      </c>
      <c r="D4" s="2476"/>
      <c r="E4" s="2469" t="s">
        <v>859</v>
      </c>
      <c r="F4" s="2470"/>
      <c r="G4" s="2470"/>
      <c r="H4" s="2470"/>
      <c r="I4" s="2470"/>
      <c r="J4" s="2470"/>
      <c r="K4" s="2470"/>
      <c r="L4" s="2470"/>
      <c r="M4" s="2470"/>
      <c r="N4" s="2469" t="s">
        <v>860</v>
      </c>
      <c r="O4" s="2470"/>
      <c r="P4" s="2470"/>
      <c r="Q4" s="2470"/>
      <c r="R4" s="2471"/>
    </row>
    <row r="5" spans="1:33" ht="24.95" customHeight="1" x14ac:dyDescent="0.3">
      <c r="A5" s="252"/>
      <c r="B5" s="16"/>
      <c r="C5" s="2476" t="s">
        <v>935</v>
      </c>
      <c r="D5" s="2476"/>
      <c r="E5" s="2472" t="s">
        <v>861</v>
      </c>
      <c r="F5" s="2473"/>
      <c r="G5" s="2473"/>
      <c r="H5" s="2473"/>
      <c r="I5" s="1057" t="s">
        <v>862</v>
      </c>
      <c r="J5" s="1058" t="s">
        <v>863</v>
      </c>
      <c r="K5" s="1058" t="s">
        <v>862</v>
      </c>
      <c r="L5" s="1058" t="s">
        <v>862</v>
      </c>
      <c r="M5" s="1058" t="s">
        <v>863</v>
      </c>
      <c r="N5" s="1059" t="s">
        <v>862</v>
      </c>
      <c r="O5" s="1060" t="s">
        <v>862</v>
      </c>
      <c r="P5" s="1060" t="s">
        <v>863</v>
      </c>
      <c r="Q5" s="1060" t="s">
        <v>863</v>
      </c>
      <c r="R5" s="1061" t="s">
        <v>863</v>
      </c>
    </row>
    <row r="6" spans="1:33" ht="24.95" customHeight="1" x14ac:dyDescent="0.3">
      <c r="A6" s="252"/>
      <c r="B6" s="16"/>
      <c r="C6" s="2476" t="s">
        <v>933</v>
      </c>
      <c r="D6" s="2476"/>
      <c r="E6" s="1059">
        <v>30</v>
      </c>
      <c r="F6" s="1060">
        <v>30</v>
      </c>
      <c r="G6" s="1060">
        <v>25</v>
      </c>
      <c r="H6" s="1060">
        <v>25</v>
      </c>
      <c r="I6" s="1059" t="s">
        <v>864</v>
      </c>
      <c r="J6" s="1060">
        <v>25</v>
      </c>
      <c r="K6" s="1060">
        <v>25</v>
      </c>
      <c r="L6" s="1060">
        <v>25</v>
      </c>
      <c r="M6" s="1060">
        <v>25</v>
      </c>
      <c r="N6" s="1059">
        <v>35</v>
      </c>
      <c r="O6" s="1060">
        <v>25</v>
      </c>
      <c r="P6" s="1060">
        <v>25</v>
      </c>
      <c r="Q6" s="1060">
        <v>25</v>
      </c>
      <c r="R6" s="1061">
        <v>25</v>
      </c>
    </row>
    <row r="7" spans="1:33" ht="24.95" customHeight="1" x14ac:dyDescent="0.3">
      <c r="A7" s="252"/>
      <c r="B7" s="284"/>
      <c r="C7" s="2476" t="s">
        <v>938</v>
      </c>
      <c r="D7" s="2476"/>
      <c r="E7" s="1062">
        <v>140</v>
      </c>
      <c r="F7" s="1063">
        <v>140</v>
      </c>
      <c r="G7" s="1063" t="s">
        <v>865</v>
      </c>
      <c r="H7" s="1063" t="s">
        <v>865</v>
      </c>
      <c r="I7" s="1062">
        <v>275</v>
      </c>
      <c r="J7" s="1063">
        <v>275</v>
      </c>
      <c r="K7" s="1063">
        <v>140</v>
      </c>
      <c r="L7" s="1063" t="s">
        <v>865</v>
      </c>
      <c r="M7" s="1063" t="s">
        <v>866</v>
      </c>
      <c r="N7" s="1062">
        <v>180</v>
      </c>
      <c r="O7" s="1063" t="s">
        <v>865</v>
      </c>
      <c r="P7" s="1063" t="s">
        <v>865</v>
      </c>
      <c r="Q7" s="1063" t="s">
        <v>867</v>
      </c>
      <c r="R7" s="1064" t="s">
        <v>868</v>
      </c>
      <c r="T7" s="2466" t="s">
        <v>10</v>
      </c>
      <c r="U7" s="2466"/>
      <c r="V7" s="2466"/>
      <c r="W7" s="2466"/>
      <c r="X7" s="2466"/>
      <c r="Y7" s="2466"/>
      <c r="Z7" s="2466"/>
      <c r="AA7" s="2466"/>
      <c r="AB7" s="2466"/>
      <c r="AC7" s="2466"/>
      <c r="AD7" s="2466"/>
      <c r="AE7" s="2466"/>
      <c r="AF7" s="2466"/>
      <c r="AG7" s="2466"/>
    </row>
    <row r="8" spans="1:33" ht="60" customHeight="1" x14ac:dyDescent="0.3">
      <c r="A8" s="252"/>
      <c r="B8" s="16"/>
      <c r="C8" s="16"/>
      <c r="D8" s="16"/>
      <c r="E8" s="1065" t="s">
        <v>869</v>
      </c>
      <c r="F8" s="1065" t="s">
        <v>870</v>
      </c>
      <c r="G8" s="1065" t="s">
        <v>871</v>
      </c>
      <c r="H8" s="1065" t="s">
        <v>872</v>
      </c>
      <c r="I8" s="1065" t="s">
        <v>873</v>
      </c>
      <c r="J8" s="1065" t="s">
        <v>874</v>
      </c>
      <c r="K8" s="1065" t="s">
        <v>875</v>
      </c>
      <c r="L8" s="1065" t="s">
        <v>876</v>
      </c>
      <c r="M8" s="1066" t="s">
        <v>877</v>
      </c>
      <c r="N8" s="1065" t="s">
        <v>878</v>
      </c>
      <c r="O8" s="1065" t="s">
        <v>879</v>
      </c>
      <c r="P8" s="1065" t="s">
        <v>880</v>
      </c>
      <c r="Q8" s="1065" t="s">
        <v>881</v>
      </c>
      <c r="R8" s="1065" t="s">
        <v>882</v>
      </c>
      <c r="T8" s="1067" t="s">
        <v>869</v>
      </c>
      <c r="U8" s="1067" t="s">
        <v>870</v>
      </c>
      <c r="V8" s="1067" t="s">
        <v>871</v>
      </c>
      <c r="W8" s="1067" t="s">
        <v>872</v>
      </c>
      <c r="X8" s="1067" t="s">
        <v>873</v>
      </c>
      <c r="Y8" s="1067" t="s">
        <v>874</v>
      </c>
      <c r="Z8" s="1067" t="s">
        <v>875</v>
      </c>
      <c r="AA8" s="1067" t="s">
        <v>876</v>
      </c>
      <c r="AB8" s="1067" t="s">
        <v>877</v>
      </c>
      <c r="AC8" s="1067" t="s">
        <v>878</v>
      </c>
      <c r="AD8" s="1067" t="s">
        <v>879</v>
      </c>
      <c r="AE8" s="1067" t="s">
        <v>880</v>
      </c>
      <c r="AF8" s="1067" t="s">
        <v>881</v>
      </c>
      <c r="AG8" s="1067" t="s">
        <v>882</v>
      </c>
    </row>
    <row r="9" spans="1:33" ht="30" customHeight="1" x14ac:dyDescent="0.2">
      <c r="A9" s="2480" t="s">
        <v>883</v>
      </c>
      <c r="B9" s="2480"/>
      <c r="C9" s="2090" t="s">
        <v>940</v>
      </c>
      <c r="D9" s="1041" t="s">
        <v>884</v>
      </c>
      <c r="E9" s="1042">
        <f t="shared" ref="E9:R14" si="0">ROUND(T9*BelarusV_Modpe*(1-$B$82),2)</f>
        <v>310</v>
      </c>
      <c r="F9" s="1042">
        <f t="shared" si="0"/>
        <v>266</v>
      </c>
      <c r="G9" s="1042">
        <f t="shared" si="0"/>
        <v>237</v>
      </c>
      <c r="H9" s="1042">
        <f t="shared" si="0"/>
        <v>190</v>
      </c>
      <c r="I9" s="1042">
        <f t="shared" si="0"/>
        <v>225</v>
      </c>
      <c r="J9" s="1042">
        <f t="shared" si="0"/>
        <v>213</v>
      </c>
      <c r="K9" s="1042">
        <f t="shared" si="0"/>
        <v>199</v>
      </c>
      <c r="L9" s="1042">
        <f t="shared" si="0"/>
        <v>184</v>
      </c>
      <c r="M9" s="1042">
        <f t="shared" si="0"/>
        <v>156</v>
      </c>
      <c r="N9" s="1042">
        <f t="shared" si="0"/>
        <v>194</v>
      </c>
      <c r="O9" s="1042">
        <f t="shared" si="0"/>
        <v>185</v>
      </c>
      <c r="P9" s="1042">
        <f t="shared" si="0"/>
        <v>169</v>
      </c>
      <c r="Q9" s="1042">
        <f t="shared" si="0"/>
        <v>147</v>
      </c>
      <c r="R9" s="1042">
        <f t="shared" si="0"/>
        <v>169</v>
      </c>
      <c r="T9" s="1068">
        <v>310</v>
      </c>
      <c r="U9" s="1068">
        <v>266</v>
      </c>
      <c r="V9" s="1068">
        <v>237</v>
      </c>
      <c r="W9" s="1068">
        <v>190</v>
      </c>
      <c r="X9" s="1068">
        <v>225</v>
      </c>
      <c r="Y9" s="1068">
        <v>213</v>
      </c>
      <c r="Z9" s="1068">
        <v>199</v>
      </c>
      <c r="AA9" s="1068">
        <v>184</v>
      </c>
      <c r="AB9" s="1068">
        <v>156</v>
      </c>
      <c r="AC9" s="1068">
        <v>194</v>
      </c>
      <c r="AD9" s="1068">
        <v>185</v>
      </c>
      <c r="AE9" s="1068">
        <v>169</v>
      </c>
      <c r="AF9" s="1068">
        <v>147</v>
      </c>
      <c r="AG9" s="1068">
        <v>169</v>
      </c>
    </row>
    <row r="10" spans="1:33" ht="30" customHeight="1" x14ac:dyDescent="0.2">
      <c r="A10" s="2480"/>
      <c r="B10" s="2480"/>
      <c r="C10" s="2090"/>
      <c r="D10" s="1043" t="s">
        <v>885</v>
      </c>
      <c r="E10" s="1044">
        <f t="shared" si="0"/>
        <v>310</v>
      </c>
      <c r="F10" s="1044">
        <f t="shared" si="0"/>
        <v>266</v>
      </c>
      <c r="G10" s="1044">
        <f t="shared" si="0"/>
        <v>237</v>
      </c>
      <c r="H10" s="1044">
        <f t="shared" si="0"/>
        <v>190</v>
      </c>
      <c r="I10" s="1044">
        <f t="shared" si="0"/>
        <v>225</v>
      </c>
      <c r="J10" s="1044">
        <f t="shared" si="0"/>
        <v>213</v>
      </c>
      <c r="K10" s="1044">
        <f t="shared" si="0"/>
        <v>199</v>
      </c>
      <c r="L10" s="1044">
        <f t="shared" si="0"/>
        <v>184</v>
      </c>
      <c r="M10" s="1044">
        <f t="shared" si="0"/>
        <v>156</v>
      </c>
      <c r="N10" s="1044">
        <f t="shared" si="0"/>
        <v>194</v>
      </c>
      <c r="O10" s="1044">
        <f t="shared" si="0"/>
        <v>185</v>
      </c>
      <c r="P10" s="1044">
        <f t="shared" si="0"/>
        <v>169</v>
      </c>
      <c r="Q10" s="1044">
        <f t="shared" si="0"/>
        <v>147</v>
      </c>
      <c r="R10" s="1044">
        <f t="shared" si="0"/>
        <v>169</v>
      </c>
      <c r="T10" s="1068">
        <v>310</v>
      </c>
      <c r="U10" s="1068">
        <v>266</v>
      </c>
      <c r="V10" s="1068">
        <v>237</v>
      </c>
      <c r="W10" s="1068">
        <v>190</v>
      </c>
      <c r="X10" s="1068">
        <v>225</v>
      </c>
      <c r="Y10" s="1068">
        <v>213</v>
      </c>
      <c r="Z10" s="1068">
        <v>199</v>
      </c>
      <c r="AA10" s="1068">
        <v>184</v>
      </c>
      <c r="AB10" s="1068">
        <v>156</v>
      </c>
      <c r="AC10" s="1068">
        <v>194</v>
      </c>
      <c r="AD10" s="1068">
        <v>185</v>
      </c>
      <c r="AE10" s="1068">
        <v>169</v>
      </c>
      <c r="AF10" s="1068">
        <v>147</v>
      </c>
      <c r="AG10" s="1068">
        <v>169</v>
      </c>
    </row>
    <row r="11" spans="1:33" ht="30" customHeight="1" x14ac:dyDescent="0.2">
      <c r="A11" s="2480"/>
      <c r="B11" s="2480"/>
      <c r="C11" s="2090"/>
      <c r="D11" s="1045" t="s">
        <v>886</v>
      </c>
      <c r="E11" s="1046">
        <f t="shared" si="0"/>
        <v>421</v>
      </c>
      <c r="F11" s="1046">
        <f t="shared" si="0"/>
        <v>360</v>
      </c>
      <c r="G11" s="1046">
        <f t="shared" si="0"/>
        <v>320</v>
      </c>
      <c r="H11" s="1046">
        <f t="shared" si="0"/>
        <v>257</v>
      </c>
      <c r="I11" s="1046">
        <f t="shared" si="0"/>
        <v>305</v>
      </c>
      <c r="J11" s="1046">
        <f t="shared" si="0"/>
        <v>288</v>
      </c>
      <c r="K11" s="1046">
        <f t="shared" si="0"/>
        <v>268</v>
      </c>
      <c r="L11" s="1046">
        <f t="shared" si="0"/>
        <v>248</v>
      </c>
      <c r="M11" s="1046">
        <f t="shared" si="0"/>
        <v>210</v>
      </c>
      <c r="N11" s="1046">
        <f t="shared" si="0"/>
        <v>262</v>
      </c>
      <c r="O11" s="1046">
        <f t="shared" si="0"/>
        <v>250</v>
      </c>
      <c r="P11" s="1046">
        <f t="shared" si="0"/>
        <v>227</v>
      </c>
      <c r="Q11" s="1046">
        <f t="shared" si="0"/>
        <v>197</v>
      </c>
      <c r="R11" s="1046">
        <f t="shared" si="0"/>
        <v>227</v>
      </c>
      <c r="T11" s="1068">
        <v>421</v>
      </c>
      <c r="U11" s="1068">
        <v>360</v>
      </c>
      <c r="V11" s="1068">
        <v>320</v>
      </c>
      <c r="W11" s="1068">
        <v>257</v>
      </c>
      <c r="X11" s="1068">
        <v>305</v>
      </c>
      <c r="Y11" s="1068">
        <v>288</v>
      </c>
      <c r="Z11" s="1068">
        <v>268</v>
      </c>
      <c r="AA11" s="1068">
        <v>248</v>
      </c>
      <c r="AB11" s="1068">
        <v>210</v>
      </c>
      <c r="AC11" s="1068">
        <v>262</v>
      </c>
      <c r="AD11" s="1068">
        <v>250</v>
      </c>
      <c r="AE11" s="1068">
        <v>227</v>
      </c>
      <c r="AF11" s="1068">
        <v>197</v>
      </c>
      <c r="AG11" s="1068">
        <v>227</v>
      </c>
    </row>
    <row r="12" spans="1:33" ht="30" customHeight="1" x14ac:dyDescent="0.2">
      <c r="A12" s="2480"/>
      <c r="B12" s="2480"/>
      <c r="C12" s="2090"/>
      <c r="D12" s="1072" t="s">
        <v>887</v>
      </c>
      <c r="E12" s="1056">
        <f t="shared" si="0"/>
        <v>421</v>
      </c>
      <c r="F12" s="1056">
        <f t="shared" si="0"/>
        <v>360</v>
      </c>
      <c r="G12" s="1056">
        <f t="shared" si="0"/>
        <v>320</v>
      </c>
      <c r="H12" s="1056">
        <f t="shared" si="0"/>
        <v>257</v>
      </c>
      <c r="I12" s="1056">
        <f t="shared" si="0"/>
        <v>305</v>
      </c>
      <c r="J12" s="1056">
        <f t="shared" si="0"/>
        <v>288</v>
      </c>
      <c r="K12" s="1056">
        <f t="shared" si="0"/>
        <v>268</v>
      </c>
      <c r="L12" s="1056">
        <f t="shared" si="0"/>
        <v>248</v>
      </c>
      <c r="M12" s="1056">
        <f t="shared" si="0"/>
        <v>210</v>
      </c>
      <c r="N12" s="1056">
        <f t="shared" si="0"/>
        <v>262</v>
      </c>
      <c r="O12" s="1056">
        <f t="shared" si="0"/>
        <v>250</v>
      </c>
      <c r="P12" s="1056">
        <f t="shared" si="0"/>
        <v>227</v>
      </c>
      <c r="Q12" s="1056">
        <f t="shared" si="0"/>
        <v>197</v>
      </c>
      <c r="R12" s="1056">
        <f t="shared" si="0"/>
        <v>227</v>
      </c>
      <c r="T12" s="1068">
        <v>421</v>
      </c>
      <c r="U12" s="1068">
        <v>360</v>
      </c>
      <c r="V12" s="1068">
        <v>320</v>
      </c>
      <c r="W12" s="1068">
        <v>257</v>
      </c>
      <c r="X12" s="1068">
        <v>305</v>
      </c>
      <c r="Y12" s="1068">
        <v>288</v>
      </c>
      <c r="Z12" s="1068">
        <v>268</v>
      </c>
      <c r="AA12" s="1068">
        <v>248</v>
      </c>
      <c r="AB12" s="1068">
        <v>210</v>
      </c>
      <c r="AC12" s="1068">
        <v>262</v>
      </c>
      <c r="AD12" s="1068">
        <v>250</v>
      </c>
      <c r="AE12" s="1068">
        <v>227</v>
      </c>
      <c r="AF12" s="1068">
        <v>197</v>
      </c>
      <c r="AG12" s="1068">
        <v>227</v>
      </c>
    </row>
    <row r="13" spans="1:33" ht="30" customHeight="1" x14ac:dyDescent="0.2">
      <c r="A13" s="2480"/>
      <c r="B13" s="2480"/>
      <c r="C13" s="2090"/>
      <c r="D13" s="1043" t="s">
        <v>888</v>
      </c>
      <c r="E13" s="1044">
        <f t="shared" si="0"/>
        <v>421</v>
      </c>
      <c r="F13" s="1044">
        <f t="shared" si="0"/>
        <v>360</v>
      </c>
      <c r="G13" s="1044">
        <f t="shared" si="0"/>
        <v>320</v>
      </c>
      <c r="H13" s="1044">
        <f t="shared" si="0"/>
        <v>257</v>
      </c>
      <c r="I13" s="1044">
        <f t="shared" si="0"/>
        <v>305</v>
      </c>
      <c r="J13" s="1044">
        <f t="shared" si="0"/>
        <v>288</v>
      </c>
      <c r="K13" s="1044">
        <f t="shared" si="0"/>
        <v>268</v>
      </c>
      <c r="L13" s="1044">
        <f t="shared" si="0"/>
        <v>248</v>
      </c>
      <c r="M13" s="1044">
        <f t="shared" si="0"/>
        <v>210</v>
      </c>
      <c r="N13" s="1044">
        <f t="shared" si="0"/>
        <v>262</v>
      </c>
      <c r="O13" s="1044">
        <f t="shared" si="0"/>
        <v>250</v>
      </c>
      <c r="P13" s="1044">
        <f t="shared" si="0"/>
        <v>227</v>
      </c>
      <c r="Q13" s="1044">
        <f t="shared" si="0"/>
        <v>197</v>
      </c>
      <c r="R13" s="1044">
        <f t="shared" si="0"/>
        <v>227</v>
      </c>
      <c r="T13" s="1068">
        <v>421</v>
      </c>
      <c r="U13" s="1068">
        <v>360</v>
      </c>
      <c r="V13" s="1068">
        <v>320</v>
      </c>
      <c r="W13" s="1068">
        <v>257</v>
      </c>
      <c r="X13" s="1068">
        <v>305</v>
      </c>
      <c r="Y13" s="1068">
        <v>288</v>
      </c>
      <c r="Z13" s="1068">
        <v>268</v>
      </c>
      <c r="AA13" s="1068">
        <v>248</v>
      </c>
      <c r="AB13" s="1068">
        <v>210</v>
      </c>
      <c r="AC13" s="1068">
        <v>262</v>
      </c>
      <c r="AD13" s="1068">
        <v>250</v>
      </c>
      <c r="AE13" s="1068">
        <v>227</v>
      </c>
      <c r="AF13" s="1068">
        <v>197</v>
      </c>
      <c r="AG13" s="1068">
        <v>227</v>
      </c>
    </row>
    <row r="14" spans="1:33" ht="30" customHeight="1" x14ac:dyDescent="0.2">
      <c r="A14" s="2480"/>
      <c r="B14" s="2480"/>
      <c r="C14" s="2090"/>
      <c r="D14" s="1045" t="s">
        <v>889</v>
      </c>
      <c r="E14" s="1046">
        <f t="shared" si="0"/>
        <v>557</v>
      </c>
      <c r="F14" s="1046">
        <f t="shared" si="0"/>
        <v>476</v>
      </c>
      <c r="G14" s="1046">
        <f t="shared" si="0"/>
        <v>422</v>
      </c>
      <c r="H14" s="1046">
        <f t="shared" si="0"/>
        <v>338</v>
      </c>
      <c r="I14" s="1046">
        <f t="shared" si="0"/>
        <v>402</v>
      </c>
      <c r="J14" s="1046">
        <f t="shared" si="0"/>
        <v>379</v>
      </c>
      <c r="K14" s="1046">
        <f t="shared" si="0"/>
        <v>353</v>
      </c>
      <c r="L14" s="1046">
        <f t="shared" si="0"/>
        <v>326</v>
      </c>
      <c r="M14" s="1046">
        <f t="shared" si="0"/>
        <v>275</v>
      </c>
      <c r="N14" s="1046">
        <f t="shared" si="0"/>
        <v>345</v>
      </c>
      <c r="O14" s="1046">
        <f t="shared" si="0"/>
        <v>329</v>
      </c>
      <c r="P14" s="1046">
        <f t="shared" si="0"/>
        <v>298</v>
      </c>
      <c r="Q14" s="1046">
        <f t="shared" si="0"/>
        <v>257</v>
      </c>
      <c r="R14" s="1046">
        <f t="shared" si="0"/>
        <v>298</v>
      </c>
      <c r="T14" s="1068">
        <v>557</v>
      </c>
      <c r="U14" s="1068">
        <v>476</v>
      </c>
      <c r="V14" s="1068">
        <v>422</v>
      </c>
      <c r="W14" s="1068">
        <v>338</v>
      </c>
      <c r="X14" s="1068">
        <v>402</v>
      </c>
      <c r="Y14" s="1068">
        <v>379</v>
      </c>
      <c r="Z14" s="1068">
        <v>353</v>
      </c>
      <c r="AA14" s="1068">
        <v>326</v>
      </c>
      <c r="AB14" s="1068">
        <v>275</v>
      </c>
      <c r="AC14" s="1068">
        <v>345</v>
      </c>
      <c r="AD14" s="1068">
        <v>329</v>
      </c>
      <c r="AE14" s="1068">
        <v>298</v>
      </c>
      <c r="AF14" s="1068">
        <v>257</v>
      </c>
      <c r="AG14" s="1068">
        <v>298</v>
      </c>
    </row>
    <row r="15" spans="1:33" ht="15" customHeight="1" x14ac:dyDescent="0.3">
      <c r="A15" s="252"/>
      <c r="B15" s="16"/>
      <c r="C15" s="16"/>
      <c r="D15" s="365"/>
      <c r="E15" s="1040"/>
      <c r="F15" s="1040"/>
      <c r="G15" s="1040"/>
      <c r="H15" s="1040"/>
      <c r="I15" s="1040"/>
      <c r="J15" s="1040"/>
      <c r="K15" s="1040"/>
      <c r="L15" s="1040"/>
      <c r="M15" s="1040"/>
      <c r="N15" s="1040"/>
      <c r="O15" s="1040"/>
      <c r="P15" s="1040"/>
      <c r="Q15" s="1040"/>
      <c r="R15" s="1040"/>
      <c r="T15" s="1068"/>
      <c r="U15" s="1068"/>
      <c r="V15" s="1068"/>
      <c r="W15" s="1068"/>
      <c r="X15" s="1068"/>
      <c r="Y15" s="1068"/>
      <c r="Z15" s="1068"/>
      <c r="AA15" s="1068"/>
      <c r="AB15" s="1068"/>
      <c r="AC15" s="1068"/>
      <c r="AD15" s="1068"/>
      <c r="AE15" s="1068"/>
      <c r="AF15" s="1068"/>
      <c r="AG15" s="1068"/>
    </row>
    <row r="16" spans="1:33" ht="30" customHeight="1" x14ac:dyDescent="0.2">
      <c r="A16" s="2477" t="s">
        <v>890</v>
      </c>
      <c r="B16" s="2478"/>
      <c r="C16" s="2478"/>
      <c r="D16" s="2478"/>
      <c r="E16" s="1047"/>
      <c r="F16" s="1047"/>
      <c r="G16" s="1047"/>
      <c r="H16" s="1047"/>
      <c r="I16" s="1047"/>
      <c r="J16" s="1047"/>
      <c r="K16" s="1047"/>
      <c r="L16" s="1047"/>
      <c r="M16" s="1047"/>
      <c r="N16" s="1047"/>
      <c r="O16" s="1047"/>
      <c r="P16" s="1047"/>
      <c r="Q16" s="1047"/>
      <c r="R16" s="1048"/>
      <c r="T16" s="1068"/>
      <c r="U16" s="1068"/>
      <c r="V16" s="1068"/>
      <c r="W16" s="1068"/>
      <c r="X16" s="1068"/>
      <c r="Y16" s="1068"/>
      <c r="Z16" s="1068"/>
      <c r="AA16" s="1068"/>
      <c r="AB16" s="1068"/>
      <c r="AC16" s="1068"/>
      <c r="AD16" s="1068"/>
      <c r="AE16" s="1068"/>
      <c r="AF16" s="1068"/>
      <c r="AG16" s="1068"/>
    </row>
    <row r="17" spans="1:33" ht="30" customHeight="1" x14ac:dyDescent="0.2">
      <c r="A17" s="2479"/>
      <c r="B17" s="2479"/>
      <c r="C17" s="2468" t="s">
        <v>891</v>
      </c>
      <c r="D17" s="2468"/>
      <c r="E17" s="1042">
        <f t="shared" ref="E17:R23" si="1">ROUND(T17*BelarusV_Modpe*(1-$B$82),2)</f>
        <v>528</v>
      </c>
      <c r="F17" s="1042">
        <f t="shared" si="1"/>
        <v>451</v>
      </c>
      <c r="G17" s="1042">
        <f t="shared" si="1"/>
        <v>400</v>
      </c>
      <c r="H17" s="1042">
        <f t="shared" si="1"/>
        <v>321</v>
      </c>
      <c r="I17" s="1042">
        <f t="shared" si="1"/>
        <v>381</v>
      </c>
      <c r="J17" s="1042">
        <f t="shared" si="1"/>
        <v>359</v>
      </c>
      <c r="K17" s="1042">
        <f t="shared" si="1"/>
        <v>335</v>
      </c>
      <c r="L17" s="1042">
        <f t="shared" si="1"/>
        <v>309</v>
      </c>
      <c r="M17" s="1042">
        <f t="shared" si="1"/>
        <v>262</v>
      </c>
      <c r="N17" s="1042">
        <f t="shared" si="1"/>
        <v>327</v>
      </c>
      <c r="O17" s="1042">
        <f t="shared" si="1"/>
        <v>312</v>
      </c>
      <c r="P17" s="1042">
        <f t="shared" si="1"/>
        <v>283</v>
      </c>
      <c r="Q17" s="1042">
        <f t="shared" si="1"/>
        <v>263</v>
      </c>
      <c r="R17" s="1042">
        <f t="shared" si="1"/>
        <v>283</v>
      </c>
      <c r="T17" s="1068">
        <v>528</v>
      </c>
      <c r="U17" s="1068">
        <v>451</v>
      </c>
      <c r="V17" s="1068">
        <v>400</v>
      </c>
      <c r="W17" s="1068">
        <v>321</v>
      </c>
      <c r="X17" s="1068">
        <v>381</v>
      </c>
      <c r="Y17" s="1068">
        <v>359</v>
      </c>
      <c r="Z17" s="1068">
        <v>335</v>
      </c>
      <c r="AA17" s="1068">
        <v>309</v>
      </c>
      <c r="AB17" s="1068">
        <v>262</v>
      </c>
      <c r="AC17" s="1068">
        <v>327</v>
      </c>
      <c r="AD17" s="1068">
        <v>312</v>
      </c>
      <c r="AE17" s="1068">
        <v>283</v>
      </c>
      <c r="AF17" s="1068">
        <v>263</v>
      </c>
      <c r="AG17" s="1068">
        <v>283</v>
      </c>
    </row>
    <row r="18" spans="1:33" ht="30" customHeight="1" x14ac:dyDescent="0.2">
      <c r="A18" s="2479"/>
      <c r="B18" s="2479"/>
      <c r="C18" s="2474" t="s">
        <v>892</v>
      </c>
      <c r="D18" s="2474"/>
      <c r="E18" s="1044">
        <f t="shared" si="1"/>
        <v>480</v>
      </c>
      <c r="F18" s="1044">
        <f t="shared" si="1"/>
        <v>410</v>
      </c>
      <c r="G18" s="1044">
        <f t="shared" si="1"/>
        <v>364</v>
      </c>
      <c r="H18" s="1044">
        <f t="shared" si="1"/>
        <v>292</v>
      </c>
      <c r="I18" s="1044">
        <f t="shared" si="1"/>
        <v>346</v>
      </c>
      <c r="J18" s="1044">
        <f t="shared" si="1"/>
        <v>327</v>
      </c>
      <c r="K18" s="1044">
        <f t="shared" si="1"/>
        <v>305</v>
      </c>
      <c r="L18" s="1044">
        <f t="shared" si="1"/>
        <v>281</v>
      </c>
      <c r="M18" s="1044">
        <f t="shared" si="1"/>
        <v>238</v>
      </c>
      <c r="N18" s="1044">
        <f t="shared" si="1"/>
        <v>297</v>
      </c>
      <c r="O18" s="1044">
        <f t="shared" si="1"/>
        <v>284</v>
      </c>
      <c r="P18" s="1044">
        <f t="shared" si="1"/>
        <v>257</v>
      </c>
      <c r="Q18" s="1044">
        <f t="shared" si="1"/>
        <v>223</v>
      </c>
      <c r="R18" s="1044">
        <f t="shared" si="1"/>
        <v>257</v>
      </c>
      <c r="T18" s="1068">
        <v>480</v>
      </c>
      <c r="U18" s="1068">
        <v>410</v>
      </c>
      <c r="V18" s="1068">
        <v>364</v>
      </c>
      <c r="W18" s="1068">
        <v>292</v>
      </c>
      <c r="X18" s="1068">
        <v>346</v>
      </c>
      <c r="Y18" s="1068">
        <v>327</v>
      </c>
      <c r="Z18" s="1068">
        <v>305</v>
      </c>
      <c r="AA18" s="1068">
        <v>281</v>
      </c>
      <c r="AB18" s="1068">
        <v>238</v>
      </c>
      <c r="AC18" s="1068">
        <v>297</v>
      </c>
      <c r="AD18" s="1068">
        <v>284</v>
      </c>
      <c r="AE18" s="1068">
        <v>257</v>
      </c>
      <c r="AF18" s="1068">
        <v>223</v>
      </c>
      <c r="AG18" s="1068">
        <v>257</v>
      </c>
    </row>
    <row r="19" spans="1:33" ht="30" customHeight="1" x14ac:dyDescent="0.2">
      <c r="A19" s="2479"/>
      <c r="B19" s="2479"/>
      <c r="C19" s="2474" t="s">
        <v>893</v>
      </c>
      <c r="D19" s="2474"/>
      <c r="E19" s="1044">
        <f t="shared" si="1"/>
        <v>747</v>
      </c>
      <c r="F19" s="1044">
        <f t="shared" si="1"/>
        <v>747</v>
      </c>
      <c r="G19" s="1044">
        <f t="shared" si="1"/>
        <v>747</v>
      </c>
      <c r="H19" s="1044">
        <f t="shared" si="1"/>
        <v>747</v>
      </c>
      <c r="I19" s="1044">
        <f t="shared" si="1"/>
        <v>747</v>
      </c>
      <c r="J19" s="1044">
        <f t="shared" si="1"/>
        <v>747</v>
      </c>
      <c r="K19" s="1044">
        <f t="shared" si="1"/>
        <v>747</v>
      </c>
      <c r="L19" s="1044">
        <f t="shared" si="1"/>
        <v>747</v>
      </c>
      <c r="M19" s="1044">
        <f t="shared" si="1"/>
        <v>747</v>
      </c>
      <c r="N19" s="1044">
        <f t="shared" si="1"/>
        <v>747</v>
      </c>
      <c r="O19" s="1044">
        <f t="shared" si="1"/>
        <v>747</v>
      </c>
      <c r="P19" s="1044">
        <f t="shared" si="1"/>
        <v>747</v>
      </c>
      <c r="Q19" s="1044">
        <f t="shared" si="1"/>
        <v>747</v>
      </c>
      <c r="R19" s="1044">
        <f t="shared" si="1"/>
        <v>747</v>
      </c>
      <c r="T19" s="1068">
        <v>747</v>
      </c>
      <c r="U19" s="1068">
        <v>747</v>
      </c>
      <c r="V19" s="1068">
        <v>747</v>
      </c>
      <c r="W19" s="1068">
        <v>747</v>
      </c>
      <c r="X19" s="1068">
        <v>747</v>
      </c>
      <c r="Y19" s="1068">
        <v>747</v>
      </c>
      <c r="Z19" s="1068">
        <v>747</v>
      </c>
      <c r="AA19" s="1068">
        <v>747</v>
      </c>
      <c r="AB19" s="1068">
        <v>747</v>
      </c>
      <c r="AC19" s="1068">
        <v>747</v>
      </c>
      <c r="AD19" s="1068">
        <v>747</v>
      </c>
      <c r="AE19" s="1068">
        <v>747</v>
      </c>
      <c r="AF19" s="1068">
        <v>747</v>
      </c>
      <c r="AG19" s="1068">
        <v>747</v>
      </c>
    </row>
    <row r="20" spans="1:33" ht="30" customHeight="1" x14ac:dyDescent="0.2">
      <c r="A20" s="2479"/>
      <c r="B20" s="2479"/>
      <c r="C20" s="2474" t="s">
        <v>894</v>
      </c>
      <c r="D20" s="2474"/>
      <c r="E20" s="1044">
        <f t="shared" si="1"/>
        <v>480</v>
      </c>
      <c r="F20" s="1044">
        <f t="shared" si="1"/>
        <v>410</v>
      </c>
      <c r="G20" s="1044">
        <f t="shared" si="1"/>
        <v>364</v>
      </c>
      <c r="H20" s="1044">
        <f t="shared" si="1"/>
        <v>292</v>
      </c>
      <c r="I20" s="1044">
        <f t="shared" si="1"/>
        <v>346</v>
      </c>
      <c r="J20" s="1044">
        <f t="shared" si="1"/>
        <v>327</v>
      </c>
      <c r="K20" s="1044">
        <f t="shared" si="1"/>
        <v>305</v>
      </c>
      <c r="L20" s="1044">
        <f t="shared" si="1"/>
        <v>281</v>
      </c>
      <c r="M20" s="1044">
        <f t="shared" si="1"/>
        <v>238</v>
      </c>
      <c r="N20" s="1044">
        <f t="shared" si="1"/>
        <v>297</v>
      </c>
      <c r="O20" s="1044">
        <f t="shared" si="1"/>
        <v>284</v>
      </c>
      <c r="P20" s="1044">
        <f t="shared" si="1"/>
        <v>257</v>
      </c>
      <c r="Q20" s="1044">
        <f t="shared" si="1"/>
        <v>223</v>
      </c>
      <c r="R20" s="1044">
        <f t="shared" si="1"/>
        <v>257</v>
      </c>
      <c r="T20" s="1068">
        <v>480</v>
      </c>
      <c r="U20" s="1068">
        <v>410</v>
      </c>
      <c r="V20" s="1068">
        <v>364</v>
      </c>
      <c r="W20" s="1068">
        <v>292</v>
      </c>
      <c r="X20" s="1068">
        <v>346</v>
      </c>
      <c r="Y20" s="1068">
        <v>327</v>
      </c>
      <c r="Z20" s="1068">
        <v>305</v>
      </c>
      <c r="AA20" s="1068">
        <v>281</v>
      </c>
      <c r="AB20" s="1068">
        <v>238</v>
      </c>
      <c r="AC20" s="1068">
        <v>297</v>
      </c>
      <c r="AD20" s="1068">
        <v>284</v>
      </c>
      <c r="AE20" s="1068">
        <v>257</v>
      </c>
      <c r="AF20" s="1068">
        <v>223</v>
      </c>
      <c r="AG20" s="1068">
        <v>257</v>
      </c>
    </row>
    <row r="21" spans="1:33" ht="30" customHeight="1" x14ac:dyDescent="0.2">
      <c r="A21" s="2479"/>
      <c r="B21" s="2479"/>
      <c r="C21" s="2475" t="s">
        <v>895</v>
      </c>
      <c r="D21" s="2475"/>
      <c r="E21" s="1053">
        <f t="shared" si="1"/>
        <v>169</v>
      </c>
      <c r="F21" s="1053">
        <f t="shared" si="1"/>
        <v>146</v>
      </c>
      <c r="G21" s="1053">
        <f t="shared" si="1"/>
        <v>130</v>
      </c>
      <c r="H21" s="1053">
        <f t="shared" si="1"/>
        <v>106</v>
      </c>
      <c r="I21" s="1053">
        <f t="shared" si="1"/>
        <v>125</v>
      </c>
      <c r="J21" s="1053">
        <f t="shared" si="1"/>
        <v>118</v>
      </c>
      <c r="K21" s="1053">
        <f t="shared" si="1"/>
        <v>111</v>
      </c>
      <c r="L21" s="1053">
        <f t="shared" si="1"/>
        <v>103</v>
      </c>
      <c r="M21" s="1053">
        <f t="shared" si="1"/>
        <v>88</v>
      </c>
      <c r="N21" s="1053">
        <f t="shared" si="1"/>
        <v>108</v>
      </c>
      <c r="O21" s="1053">
        <f t="shared" si="1"/>
        <v>104</v>
      </c>
      <c r="P21" s="1053">
        <f t="shared" si="1"/>
        <v>95</v>
      </c>
      <c r="Q21" s="1053">
        <f t="shared" si="1"/>
        <v>83</v>
      </c>
      <c r="R21" s="1053">
        <f t="shared" si="1"/>
        <v>95</v>
      </c>
      <c r="T21" s="1068">
        <v>169</v>
      </c>
      <c r="U21" s="1068">
        <v>146</v>
      </c>
      <c r="V21" s="1068">
        <v>130</v>
      </c>
      <c r="W21" s="1068">
        <v>106</v>
      </c>
      <c r="X21" s="1068">
        <v>125</v>
      </c>
      <c r="Y21" s="1068">
        <v>118</v>
      </c>
      <c r="Z21" s="1068">
        <v>111</v>
      </c>
      <c r="AA21" s="1068">
        <v>103</v>
      </c>
      <c r="AB21" s="1068">
        <v>88</v>
      </c>
      <c r="AC21" s="1068">
        <v>108</v>
      </c>
      <c r="AD21" s="1068">
        <v>104</v>
      </c>
      <c r="AE21" s="1068">
        <v>95</v>
      </c>
      <c r="AF21" s="1068">
        <v>83</v>
      </c>
      <c r="AG21" s="1068">
        <v>95</v>
      </c>
    </row>
    <row r="22" spans="1:33" ht="50.1" customHeight="1" x14ac:dyDescent="0.2">
      <c r="A22" s="2479"/>
      <c r="B22" s="2479"/>
      <c r="C22" s="2061" t="s">
        <v>896</v>
      </c>
      <c r="D22" s="1054" t="s">
        <v>897</v>
      </c>
      <c r="E22" s="1042">
        <f t="shared" si="1"/>
        <v>421</v>
      </c>
      <c r="F22" s="1042">
        <f t="shared" si="1"/>
        <v>360</v>
      </c>
      <c r="G22" s="1042">
        <f t="shared" si="1"/>
        <v>320</v>
      </c>
      <c r="H22" s="1042">
        <f t="shared" si="1"/>
        <v>257</v>
      </c>
      <c r="I22" s="1042">
        <f t="shared" si="1"/>
        <v>305</v>
      </c>
      <c r="J22" s="1042">
        <f t="shared" si="1"/>
        <v>288</v>
      </c>
      <c r="K22" s="1042">
        <f t="shared" si="1"/>
        <v>268</v>
      </c>
      <c r="L22" s="1042">
        <f t="shared" si="1"/>
        <v>248</v>
      </c>
      <c r="M22" s="1042">
        <f t="shared" si="1"/>
        <v>210</v>
      </c>
      <c r="N22" s="1042">
        <f t="shared" si="1"/>
        <v>262</v>
      </c>
      <c r="O22" s="1042">
        <f t="shared" si="1"/>
        <v>250</v>
      </c>
      <c r="P22" s="1042">
        <f t="shared" si="1"/>
        <v>227</v>
      </c>
      <c r="Q22" s="1042">
        <f t="shared" si="1"/>
        <v>197</v>
      </c>
      <c r="R22" s="1042">
        <f t="shared" si="1"/>
        <v>227</v>
      </c>
      <c r="T22" s="1068">
        <v>421</v>
      </c>
      <c r="U22" s="1068">
        <v>360</v>
      </c>
      <c r="V22" s="1068">
        <v>320</v>
      </c>
      <c r="W22" s="1068">
        <v>257</v>
      </c>
      <c r="X22" s="1068">
        <v>305</v>
      </c>
      <c r="Y22" s="1068">
        <v>288</v>
      </c>
      <c r="Z22" s="1068">
        <v>268</v>
      </c>
      <c r="AA22" s="1068">
        <v>248</v>
      </c>
      <c r="AB22" s="1068">
        <v>210</v>
      </c>
      <c r="AC22" s="1068">
        <v>262</v>
      </c>
      <c r="AD22" s="1068">
        <v>250</v>
      </c>
      <c r="AE22" s="1068">
        <v>227</v>
      </c>
      <c r="AF22" s="1068">
        <v>197</v>
      </c>
      <c r="AG22" s="1068">
        <v>227</v>
      </c>
    </row>
    <row r="23" spans="1:33" ht="30" customHeight="1" x14ac:dyDescent="0.2">
      <c r="A23" s="2479"/>
      <c r="B23" s="2479"/>
      <c r="C23" s="2063"/>
      <c r="D23" s="1050" t="s">
        <v>898</v>
      </c>
      <c r="E23" s="1046">
        <f t="shared" si="1"/>
        <v>185</v>
      </c>
      <c r="F23" s="1046">
        <f t="shared" si="1"/>
        <v>160</v>
      </c>
      <c r="G23" s="1046">
        <f t="shared" si="1"/>
        <v>143</v>
      </c>
      <c r="H23" s="1046">
        <f t="shared" si="1"/>
        <v>116</v>
      </c>
      <c r="I23" s="1046">
        <f t="shared" si="1"/>
        <v>136</v>
      </c>
      <c r="J23" s="1046">
        <f t="shared" si="1"/>
        <v>129</v>
      </c>
      <c r="K23" s="1046">
        <f t="shared" si="1"/>
        <v>121</v>
      </c>
      <c r="L23" s="1046">
        <f t="shared" si="1"/>
        <v>112</v>
      </c>
      <c r="M23" s="1046">
        <f t="shared" si="1"/>
        <v>96</v>
      </c>
      <c r="N23" s="1046">
        <f t="shared" si="1"/>
        <v>118</v>
      </c>
      <c r="O23" s="1046">
        <f t="shared" si="1"/>
        <v>113</v>
      </c>
      <c r="P23" s="1046">
        <f t="shared" si="1"/>
        <v>103</v>
      </c>
      <c r="Q23" s="1046">
        <f t="shared" si="1"/>
        <v>91</v>
      </c>
      <c r="R23" s="1046">
        <f t="shared" si="1"/>
        <v>103</v>
      </c>
      <c r="T23" s="1068">
        <v>185</v>
      </c>
      <c r="U23" s="1068">
        <v>160</v>
      </c>
      <c r="V23" s="1068">
        <v>143</v>
      </c>
      <c r="W23" s="1068">
        <v>116</v>
      </c>
      <c r="X23" s="1068">
        <v>136</v>
      </c>
      <c r="Y23" s="1068">
        <v>129</v>
      </c>
      <c r="Z23" s="1068">
        <v>121</v>
      </c>
      <c r="AA23" s="1068">
        <v>112</v>
      </c>
      <c r="AB23" s="1068">
        <v>96</v>
      </c>
      <c r="AC23" s="1068">
        <v>118</v>
      </c>
      <c r="AD23" s="1068">
        <v>113</v>
      </c>
      <c r="AE23" s="1068">
        <v>103</v>
      </c>
      <c r="AF23" s="1068">
        <v>91</v>
      </c>
      <c r="AG23" s="1068">
        <v>103</v>
      </c>
    </row>
    <row r="24" spans="1:33" ht="15" customHeight="1" x14ac:dyDescent="0.3">
      <c r="A24" s="252"/>
      <c r="B24" s="16"/>
      <c r="C24" s="16"/>
      <c r="D24" s="16"/>
      <c r="E24" s="1040"/>
      <c r="F24" s="1040"/>
      <c r="G24" s="1040"/>
      <c r="H24" s="1040"/>
      <c r="I24" s="1040"/>
      <c r="J24" s="1040"/>
      <c r="K24" s="1040"/>
      <c r="L24" s="1040"/>
      <c r="M24" s="1040"/>
      <c r="N24" s="1040"/>
      <c r="O24" s="1040"/>
      <c r="P24" s="1040"/>
      <c r="Q24" s="1040"/>
      <c r="R24" s="1040"/>
      <c r="T24" s="1068"/>
      <c r="U24" s="1068"/>
      <c r="V24" s="1068"/>
      <c r="W24" s="1068"/>
      <c r="X24" s="1068"/>
      <c r="Y24" s="1068"/>
      <c r="Z24" s="1068"/>
      <c r="AA24" s="1068"/>
      <c r="AB24" s="1068"/>
      <c r="AC24" s="1068"/>
      <c r="AD24" s="1068"/>
      <c r="AE24" s="1068"/>
      <c r="AF24" s="1068"/>
      <c r="AG24" s="1068"/>
    </row>
    <row r="25" spans="1:33" ht="30" customHeight="1" x14ac:dyDescent="0.2">
      <c r="A25" s="2477" t="s">
        <v>899</v>
      </c>
      <c r="B25" s="2478"/>
      <c r="C25" s="2478"/>
      <c r="D25" s="2478"/>
      <c r="E25" s="1047"/>
      <c r="F25" s="1047"/>
      <c r="G25" s="1047"/>
      <c r="H25" s="1047"/>
      <c r="I25" s="1047"/>
      <c r="J25" s="1047"/>
      <c r="K25" s="1047"/>
      <c r="L25" s="1047"/>
      <c r="M25" s="1047"/>
      <c r="N25" s="1047"/>
      <c r="O25" s="1047"/>
      <c r="P25" s="1047"/>
      <c r="Q25" s="1047"/>
      <c r="R25" s="1048"/>
      <c r="T25" s="1068"/>
      <c r="U25" s="1068"/>
      <c r="V25" s="1068"/>
      <c r="W25" s="1068"/>
      <c r="X25" s="1068"/>
      <c r="Y25" s="1068"/>
      <c r="Z25" s="1068"/>
      <c r="AA25" s="1068"/>
      <c r="AB25" s="1068"/>
      <c r="AC25" s="1068"/>
      <c r="AD25" s="1068"/>
      <c r="AE25" s="1068"/>
      <c r="AF25" s="1068"/>
      <c r="AG25" s="1068"/>
    </row>
    <row r="26" spans="1:33" ht="30" customHeight="1" x14ac:dyDescent="0.2">
      <c r="A26" s="2479"/>
      <c r="B26" s="2479"/>
      <c r="C26" s="2468" t="s">
        <v>891</v>
      </c>
      <c r="D26" s="2468"/>
      <c r="E26" s="1042">
        <f t="shared" ref="E26:R32" si="2">ROUND(T26*BelarusV_Modpe*(1-$B$82),2)</f>
        <v>421</v>
      </c>
      <c r="F26" s="1042">
        <f t="shared" si="2"/>
        <v>360</v>
      </c>
      <c r="G26" s="1042">
        <f t="shared" si="2"/>
        <v>320</v>
      </c>
      <c r="H26" s="1042">
        <f t="shared" si="2"/>
        <v>257</v>
      </c>
      <c r="I26" s="1042">
        <f t="shared" si="2"/>
        <v>305</v>
      </c>
      <c r="J26" s="1042">
        <f t="shared" si="2"/>
        <v>288</v>
      </c>
      <c r="K26" s="1042">
        <f t="shared" si="2"/>
        <v>268</v>
      </c>
      <c r="L26" s="1042">
        <f t="shared" si="2"/>
        <v>248</v>
      </c>
      <c r="M26" s="1042">
        <f t="shared" si="2"/>
        <v>210</v>
      </c>
      <c r="N26" s="1042">
        <f t="shared" si="2"/>
        <v>262</v>
      </c>
      <c r="O26" s="1042">
        <f t="shared" si="2"/>
        <v>250</v>
      </c>
      <c r="P26" s="1042">
        <f t="shared" si="2"/>
        <v>227</v>
      </c>
      <c r="Q26" s="1042">
        <f t="shared" si="2"/>
        <v>211</v>
      </c>
      <c r="R26" s="1042">
        <f t="shared" si="2"/>
        <v>227</v>
      </c>
      <c r="T26" s="1068">
        <v>421</v>
      </c>
      <c r="U26" s="1068">
        <v>360</v>
      </c>
      <c r="V26" s="1068">
        <v>320</v>
      </c>
      <c r="W26" s="1068">
        <v>257</v>
      </c>
      <c r="X26" s="1068">
        <v>305</v>
      </c>
      <c r="Y26" s="1068">
        <v>288</v>
      </c>
      <c r="Z26" s="1068">
        <v>268</v>
      </c>
      <c r="AA26" s="1068">
        <v>248</v>
      </c>
      <c r="AB26" s="1068">
        <v>210</v>
      </c>
      <c r="AC26" s="1068">
        <v>262</v>
      </c>
      <c r="AD26" s="1068">
        <v>250</v>
      </c>
      <c r="AE26" s="1068">
        <v>227</v>
      </c>
      <c r="AF26" s="1068">
        <v>211</v>
      </c>
      <c r="AG26" s="1068">
        <v>227</v>
      </c>
    </row>
    <row r="27" spans="1:33" ht="30" customHeight="1" x14ac:dyDescent="0.2">
      <c r="A27" s="2479"/>
      <c r="B27" s="2479"/>
      <c r="C27" s="2474" t="s">
        <v>892</v>
      </c>
      <c r="D27" s="2474"/>
      <c r="E27" s="1044">
        <f t="shared" si="2"/>
        <v>376</v>
      </c>
      <c r="F27" s="1044">
        <f t="shared" si="2"/>
        <v>322</v>
      </c>
      <c r="G27" s="1044">
        <f t="shared" si="2"/>
        <v>286</v>
      </c>
      <c r="H27" s="1044">
        <f t="shared" si="2"/>
        <v>230</v>
      </c>
      <c r="I27" s="1044">
        <f t="shared" si="2"/>
        <v>272</v>
      </c>
      <c r="J27" s="1044">
        <f t="shared" si="2"/>
        <v>257</v>
      </c>
      <c r="K27" s="1044">
        <f t="shared" si="2"/>
        <v>240</v>
      </c>
      <c r="L27" s="1044">
        <f t="shared" si="2"/>
        <v>222</v>
      </c>
      <c r="M27" s="1044">
        <f t="shared" si="2"/>
        <v>188</v>
      </c>
      <c r="N27" s="1044">
        <f t="shared" si="2"/>
        <v>234</v>
      </c>
      <c r="O27" s="1044">
        <f t="shared" si="2"/>
        <v>224</v>
      </c>
      <c r="P27" s="1044">
        <f t="shared" si="2"/>
        <v>203</v>
      </c>
      <c r="Q27" s="1044">
        <f t="shared" si="2"/>
        <v>176</v>
      </c>
      <c r="R27" s="1044">
        <f t="shared" si="2"/>
        <v>203</v>
      </c>
      <c r="T27" s="1068">
        <v>376</v>
      </c>
      <c r="U27" s="1068">
        <v>322</v>
      </c>
      <c r="V27" s="1068">
        <v>286</v>
      </c>
      <c r="W27" s="1068">
        <v>230</v>
      </c>
      <c r="X27" s="1068">
        <v>272</v>
      </c>
      <c r="Y27" s="1068">
        <v>257</v>
      </c>
      <c r="Z27" s="1068">
        <v>240</v>
      </c>
      <c r="AA27" s="1068">
        <v>222</v>
      </c>
      <c r="AB27" s="1068">
        <v>188</v>
      </c>
      <c r="AC27" s="1068">
        <v>234</v>
      </c>
      <c r="AD27" s="1068">
        <v>224</v>
      </c>
      <c r="AE27" s="1068">
        <v>203</v>
      </c>
      <c r="AF27" s="1068">
        <v>176</v>
      </c>
      <c r="AG27" s="1068">
        <v>203</v>
      </c>
    </row>
    <row r="28" spans="1:33" ht="30" customHeight="1" x14ac:dyDescent="0.2">
      <c r="A28" s="2479"/>
      <c r="B28" s="2479"/>
      <c r="C28" s="2474" t="s">
        <v>893</v>
      </c>
      <c r="D28" s="2474"/>
      <c r="E28" s="1044">
        <f t="shared" si="2"/>
        <v>633</v>
      </c>
      <c r="F28" s="1044">
        <f t="shared" si="2"/>
        <v>633</v>
      </c>
      <c r="G28" s="1044">
        <f t="shared" si="2"/>
        <v>633</v>
      </c>
      <c r="H28" s="1044">
        <f t="shared" si="2"/>
        <v>633</v>
      </c>
      <c r="I28" s="1044">
        <f t="shared" si="2"/>
        <v>633</v>
      </c>
      <c r="J28" s="1044">
        <f t="shared" si="2"/>
        <v>633</v>
      </c>
      <c r="K28" s="1044">
        <f t="shared" si="2"/>
        <v>633</v>
      </c>
      <c r="L28" s="1044">
        <f t="shared" si="2"/>
        <v>633</v>
      </c>
      <c r="M28" s="1044">
        <f t="shared" si="2"/>
        <v>633</v>
      </c>
      <c r="N28" s="1044">
        <f t="shared" si="2"/>
        <v>633</v>
      </c>
      <c r="O28" s="1044">
        <f t="shared" si="2"/>
        <v>633</v>
      </c>
      <c r="P28" s="1044">
        <f t="shared" si="2"/>
        <v>633</v>
      </c>
      <c r="Q28" s="1044">
        <f t="shared" si="2"/>
        <v>633</v>
      </c>
      <c r="R28" s="1044">
        <f t="shared" si="2"/>
        <v>633</v>
      </c>
      <c r="T28" s="1068">
        <v>633</v>
      </c>
      <c r="U28" s="1068">
        <v>633</v>
      </c>
      <c r="V28" s="1068">
        <v>633</v>
      </c>
      <c r="W28" s="1068">
        <v>633</v>
      </c>
      <c r="X28" s="1068">
        <v>633</v>
      </c>
      <c r="Y28" s="1068">
        <v>633</v>
      </c>
      <c r="Z28" s="1068">
        <v>633</v>
      </c>
      <c r="AA28" s="1068">
        <v>633</v>
      </c>
      <c r="AB28" s="1068">
        <v>633</v>
      </c>
      <c r="AC28" s="1068">
        <v>633</v>
      </c>
      <c r="AD28" s="1068">
        <v>633</v>
      </c>
      <c r="AE28" s="1068">
        <v>633</v>
      </c>
      <c r="AF28" s="1068">
        <v>633</v>
      </c>
      <c r="AG28" s="1068">
        <v>633</v>
      </c>
    </row>
    <row r="29" spans="1:33" ht="30" customHeight="1" x14ac:dyDescent="0.2">
      <c r="A29" s="2479"/>
      <c r="B29" s="2479"/>
      <c r="C29" s="2474" t="s">
        <v>894</v>
      </c>
      <c r="D29" s="2474"/>
      <c r="E29" s="1044">
        <f t="shared" si="2"/>
        <v>421</v>
      </c>
      <c r="F29" s="1044">
        <f t="shared" si="2"/>
        <v>360</v>
      </c>
      <c r="G29" s="1044">
        <f t="shared" si="2"/>
        <v>320</v>
      </c>
      <c r="H29" s="1044">
        <f t="shared" si="2"/>
        <v>257</v>
      </c>
      <c r="I29" s="1044">
        <f t="shared" si="2"/>
        <v>305</v>
      </c>
      <c r="J29" s="1044">
        <f t="shared" si="2"/>
        <v>288</v>
      </c>
      <c r="K29" s="1044">
        <f t="shared" si="2"/>
        <v>268</v>
      </c>
      <c r="L29" s="1044">
        <f t="shared" si="2"/>
        <v>248</v>
      </c>
      <c r="M29" s="1044">
        <f t="shared" si="2"/>
        <v>210</v>
      </c>
      <c r="N29" s="1044">
        <f t="shared" si="2"/>
        <v>262</v>
      </c>
      <c r="O29" s="1044">
        <f t="shared" si="2"/>
        <v>250</v>
      </c>
      <c r="P29" s="1044">
        <f t="shared" si="2"/>
        <v>227</v>
      </c>
      <c r="Q29" s="1044">
        <f t="shared" si="2"/>
        <v>197</v>
      </c>
      <c r="R29" s="1044">
        <f t="shared" si="2"/>
        <v>227</v>
      </c>
      <c r="T29" s="1068">
        <v>421</v>
      </c>
      <c r="U29" s="1068">
        <v>360</v>
      </c>
      <c r="V29" s="1068">
        <v>320</v>
      </c>
      <c r="W29" s="1068">
        <v>257</v>
      </c>
      <c r="X29" s="1068">
        <v>305</v>
      </c>
      <c r="Y29" s="1068">
        <v>288</v>
      </c>
      <c r="Z29" s="1068">
        <v>268</v>
      </c>
      <c r="AA29" s="1068">
        <v>248</v>
      </c>
      <c r="AB29" s="1068">
        <v>210</v>
      </c>
      <c r="AC29" s="1068">
        <v>262</v>
      </c>
      <c r="AD29" s="1068">
        <v>250</v>
      </c>
      <c r="AE29" s="1068">
        <v>227</v>
      </c>
      <c r="AF29" s="1068">
        <v>197</v>
      </c>
      <c r="AG29" s="1068">
        <v>227</v>
      </c>
    </row>
    <row r="30" spans="1:33" ht="30" customHeight="1" x14ac:dyDescent="0.2">
      <c r="A30" s="2479"/>
      <c r="B30" s="2479"/>
      <c r="C30" s="2475" t="s">
        <v>895</v>
      </c>
      <c r="D30" s="2475"/>
      <c r="E30" s="1053">
        <f t="shared" si="2"/>
        <v>169</v>
      </c>
      <c r="F30" s="1053">
        <f t="shared" si="2"/>
        <v>146</v>
      </c>
      <c r="G30" s="1053">
        <f t="shared" si="2"/>
        <v>130</v>
      </c>
      <c r="H30" s="1053">
        <f t="shared" si="2"/>
        <v>106</v>
      </c>
      <c r="I30" s="1053">
        <f t="shared" si="2"/>
        <v>125</v>
      </c>
      <c r="J30" s="1053">
        <f t="shared" si="2"/>
        <v>118</v>
      </c>
      <c r="K30" s="1053">
        <f t="shared" si="2"/>
        <v>111</v>
      </c>
      <c r="L30" s="1053">
        <f t="shared" si="2"/>
        <v>103</v>
      </c>
      <c r="M30" s="1053">
        <f t="shared" si="2"/>
        <v>88</v>
      </c>
      <c r="N30" s="1053">
        <f t="shared" si="2"/>
        <v>108</v>
      </c>
      <c r="O30" s="1053">
        <f t="shared" si="2"/>
        <v>104</v>
      </c>
      <c r="P30" s="1053">
        <f t="shared" si="2"/>
        <v>95</v>
      </c>
      <c r="Q30" s="1053">
        <f t="shared" si="2"/>
        <v>83</v>
      </c>
      <c r="R30" s="1053">
        <f t="shared" si="2"/>
        <v>95</v>
      </c>
      <c r="T30" s="1068">
        <v>169</v>
      </c>
      <c r="U30" s="1068">
        <v>146</v>
      </c>
      <c r="V30" s="1068">
        <v>130</v>
      </c>
      <c r="W30" s="1068">
        <v>106</v>
      </c>
      <c r="X30" s="1068">
        <v>125</v>
      </c>
      <c r="Y30" s="1068">
        <v>118</v>
      </c>
      <c r="Z30" s="1068">
        <v>111</v>
      </c>
      <c r="AA30" s="1068">
        <v>103</v>
      </c>
      <c r="AB30" s="1068">
        <v>88</v>
      </c>
      <c r="AC30" s="1068">
        <v>108</v>
      </c>
      <c r="AD30" s="1068">
        <v>104</v>
      </c>
      <c r="AE30" s="1068">
        <v>95</v>
      </c>
      <c r="AF30" s="1068">
        <v>83</v>
      </c>
      <c r="AG30" s="1068">
        <v>95</v>
      </c>
    </row>
    <row r="31" spans="1:33" ht="50.1" customHeight="1" x14ac:dyDescent="0.2">
      <c r="A31" s="2479"/>
      <c r="B31" s="2479"/>
      <c r="C31" s="2061" t="s">
        <v>896</v>
      </c>
      <c r="D31" s="1054" t="s">
        <v>897</v>
      </c>
      <c r="E31" s="1042">
        <f t="shared" si="2"/>
        <v>376</v>
      </c>
      <c r="F31" s="1042">
        <f t="shared" si="2"/>
        <v>322</v>
      </c>
      <c r="G31" s="1042">
        <f t="shared" si="2"/>
        <v>286</v>
      </c>
      <c r="H31" s="1042">
        <f t="shared" si="2"/>
        <v>230</v>
      </c>
      <c r="I31" s="1042">
        <f t="shared" si="2"/>
        <v>272</v>
      </c>
      <c r="J31" s="1042">
        <f t="shared" si="2"/>
        <v>257</v>
      </c>
      <c r="K31" s="1042">
        <f t="shared" si="2"/>
        <v>240</v>
      </c>
      <c r="L31" s="1042">
        <f t="shared" si="2"/>
        <v>222</v>
      </c>
      <c r="M31" s="1042">
        <f t="shared" si="2"/>
        <v>188</v>
      </c>
      <c r="N31" s="1042">
        <f t="shared" si="2"/>
        <v>234</v>
      </c>
      <c r="O31" s="1042">
        <f t="shared" si="2"/>
        <v>224</v>
      </c>
      <c r="P31" s="1042">
        <f t="shared" si="2"/>
        <v>203</v>
      </c>
      <c r="Q31" s="1042">
        <f t="shared" si="2"/>
        <v>176</v>
      </c>
      <c r="R31" s="1042">
        <f t="shared" si="2"/>
        <v>203</v>
      </c>
      <c r="T31" s="1068">
        <v>376</v>
      </c>
      <c r="U31" s="1068">
        <v>322</v>
      </c>
      <c r="V31" s="1068">
        <v>286</v>
      </c>
      <c r="W31" s="1068">
        <v>230</v>
      </c>
      <c r="X31" s="1068">
        <v>272</v>
      </c>
      <c r="Y31" s="1068">
        <v>257</v>
      </c>
      <c r="Z31" s="1068">
        <v>240</v>
      </c>
      <c r="AA31" s="1068">
        <v>222</v>
      </c>
      <c r="AB31" s="1068">
        <v>188</v>
      </c>
      <c r="AC31" s="1068">
        <v>234</v>
      </c>
      <c r="AD31" s="1068">
        <v>224</v>
      </c>
      <c r="AE31" s="1068">
        <v>203</v>
      </c>
      <c r="AF31" s="1068">
        <v>176</v>
      </c>
      <c r="AG31" s="1068">
        <v>203</v>
      </c>
    </row>
    <row r="32" spans="1:33" ht="30" customHeight="1" x14ac:dyDescent="0.2">
      <c r="A32" s="2479"/>
      <c r="B32" s="2479"/>
      <c r="C32" s="2063"/>
      <c r="D32" s="1050" t="s">
        <v>898</v>
      </c>
      <c r="E32" s="1046">
        <f t="shared" si="2"/>
        <v>185</v>
      </c>
      <c r="F32" s="1046">
        <f t="shared" si="2"/>
        <v>160</v>
      </c>
      <c r="G32" s="1046">
        <f t="shared" si="2"/>
        <v>143</v>
      </c>
      <c r="H32" s="1046">
        <f t="shared" si="2"/>
        <v>116</v>
      </c>
      <c r="I32" s="1046">
        <f t="shared" si="2"/>
        <v>136</v>
      </c>
      <c r="J32" s="1046">
        <f t="shared" si="2"/>
        <v>129</v>
      </c>
      <c r="K32" s="1046">
        <f t="shared" si="2"/>
        <v>121</v>
      </c>
      <c r="L32" s="1046">
        <f t="shared" si="2"/>
        <v>112</v>
      </c>
      <c r="M32" s="1046">
        <f t="shared" si="2"/>
        <v>96</v>
      </c>
      <c r="N32" s="1046">
        <f t="shared" si="2"/>
        <v>118</v>
      </c>
      <c r="O32" s="1046">
        <f t="shared" si="2"/>
        <v>113</v>
      </c>
      <c r="P32" s="1046">
        <f t="shared" si="2"/>
        <v>103</v>
      </c>
      <c r="Q32" s="1046">
        <f t="shared" si="2"/>
        <v>91</v>
      </c>
      <c r="R32" s="1046">
        <f t="shared" si="2"/>
        <v>103</v>
      </c>
      <c r="T32" s="1068">
        <v>185</v>
      </c>
      <c r="U32" s="1068">
        <v>160</v>
      </c>
      <c r="V32" s="1068">
        <v>143</v>
      </c>
      <c r="W32" s="1068">
        <v>116</v>
      </c>
      <c r="X32" s="1068">
        <v>136</v>
      </c>
      <c r="Y32" s="1068">
        <v>129</v>
      </c>
      <c r="Z32" s="1068">
        <v>121</v>
      </c>
      <c r="AA32" s="1068">
        <v>112</v>
      </c>
      <c r="AB32" s="1068">
        <v>96</v>
      </c>
      <c r="AC32" s="1068">
        <v>118</v>
      </c>
      <c r="AD32" s="1068">
        <v>113</v>
      </c>
      <c r="AE32" s="1068">
        <v>103</v>
      </c>
      <c r="AF32" s="1068">
        <v>91</v>
      </c>
      <c r="AG32" s="1068">
        <v>103</v>
      </c>
    </row>
    <row r="33" spans="1:33" ht="15" customHeight="1" x14ac:dyDescent="0.3">
      <c r="A33" s="252"/>
      <c r="B33" s="16"/>
      <c r="C33" s="16"/>
      <c r="D33" s="16"/>
      <c r="E33" s="1040"/>
      <c r="F33" s="1040"/>
      <c r="G33" s="1040"/>
      <c r="H33" s="1040"/>
      <c r="I33" s="1040"/>
      <c r="J33" s="1040"/>
      <c r="K33" s="1040"/>
      <c r="L33" s="1040"/>
      <c r="M33" s="1040"/>
      <c r="N33" s="1040"/>
      <c r="O33" s="1040"/>
      <c r="P33" s="1040"/>
      <c r="Q33" s="1040"/>
      <c r="R33" s="1040"/>
      <c r="T33" s="1068"/>
      <c r="U33" s="1068"/>
      <c r="V33" s="1068"/>
      <c r="W33" s="1068"/>
      <c r="X33" s="1068"/>
      <c r="Y33" s="1068"/>
      <c r="Z33" s="1068"/>
      <c r="AA33" s="1068"/>
      <c r="AB33" s="1068"/>
      <c r="AC33" s="1068"/>
      <c r="AD33" s="1068"/>
      <c r="AE33" s="1068"/>
      <c r="AF33" s="1068"/>
      <c r="AG33" s="1068"/>
    </row>
    <row r="34" spans="1:33" ht="30" customHeight="1" x14ac:dyDescent="0.2">
      <c r="A34" s="2477" t="s">
        <v>900</v>
      </c>
      <c r="B34" s="2478"/>
      <c r="C34" s="2478"/>
      <c r="D34" s="2478"/>
      <c r="E34" s="1047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8"/>
      <c r="T34" s="1068"/>
      <c r="U34" s="1068"/>
      <c r="V34" s="1068"/>
      <c r="W34" s="1068"/>
      <c r="X34" s="1068"/>
      <c r="Y34" s="1068"/>
      <c r="Z34" s="1068"/>
      <c r="AA34" s="1068"/>
      <c r="AB34" s="1068"/>
      <c r="AC34" s="1068"/>
      <c r="AD34" s="1068"/>
      <c r="AE34" s="1068"/>
      <c r="AF34" s="1068"/>
      <c r="AG34" s="1068"/>
    </row>
    <row r="35" spans="1:33" ht="30" customHeight="1" x14ac:dyDescent="0.2">
      <c r="A35" s="2479"/>
      <c r="B35" s="2479"/>
      <c r="C35" s="2468" t="s">
        <v>891</v>
      </c>
      <c r="D35" s="2468"/>
      <c r="E35" s="1042">
        <f t="shared" ref="E35:R39" si="3">ROUND(T35*BelarusV_Modpe*(1-$B$82),2)</f>
        <v>733</v>
      </c>
      <c r="F35" s="1042">
        <f t="shared" si="3"/>
        <v>625</v>
      </c>
      <c r="G35" s="1042">
        <f t="shared" si="3"/>
        <v>555</v>
      </c>
      <c r="H35" s="1042">
        <f t="shared" si="3"/>
        <v>443</v>
      </c>
      <c r="I35" s="1042">
        <f t="shared" si="3"/>
        <v>527</v>
      </c>
      <c r="J35" s="1042">
        <f t="shared" si="3"/>
        <v>497</v>
      </c>
      <c r="K35" s="1042">
        <f t="shared" si="3"/>
        <v>463</v>
      </c>
      <c r="L35" s="1042">
        <f t="shared" si="3"/>
        <v>427</v>
      </c>
      <c r="M35" s="1042">
        <f t="shared" si="3"/>
        <v>360</v>
      </c>
      <c r="N35" s="1042">
        <f t="shared" si="3"/>
        <v>452</v>
      </c>
      <c r="O35" s="1042">
        <f t="shared" si="3"/>
        <v>431</v>
      </c>
      <c r="P35" s="1042">
        <f t="shared" si="3"/>
        <v>390</v>
      </c>
      <c r="Q35" s="1042">
        <f t="shared" si="3"/>
        <v>306</v>
      </c>
      <c r="R35" s="1042">
        <f t="shared" si="3"/>
        <v>390</v>
      </c>
      <c r="T35" s="1068">
        <v>733</v>
      </c>
      <c r="U35" s="1068">
        <v>625</v>
      </c>
      <c r="V35" s="1068">
        <v>555</v>
      </c>
      <c r="W35" s="1068">
        <v>443</v>
      </c>
      <c r="X35" s="1068">
        <v>527</v>
      </c>
      <c r="Y35" s="1068">
        <v>497</v>
      </c>
      <c r="Z35" s="1068">
        <v>463</v>
      </c>
      <c r="AA35" s="1068">
        <v>427</v>
      </c>
      <c r="AB35" s="1068">
        <v>360</v>
      </c>
      <c r="AC35" s="1068">
        <v>452</v>
      </c>
      <c r="AD35" s="1068">
        <v>431</v>
      </c>
      <c r="AE35" s="1068">
        <v>390</v>
      </c>
      <c r="AF35" s="1068">
        <v>306</v>
      </c>
      <c r="AG35" s="1068">
        <v>390</v>
      </c>
    </row>
    <row r="36" spans="1:33" ht="30" customHeight="1" x14ac:dyDescent="0.2">
      <c r="A36" s="2479"/>
      <c r="B36" s="2479"/>
      <c r="C36" s="2474" t="s">
        <v>892</v>
      </c>
      <c r="D36" s="2474"/>
      <c r="E36" s="1044">
        <f t="shared" si="3"/>
        <v>480</v>
      </c>
      <c r="F36" s="1044">
        <f t="shared" si="3"/>
        <v>410</v>
      </c>
      <c r="G36" s="1044">
        <f t="shared" si="3"/>
        <v>364</v>
      </c>
      <c r="H36" s="1044">
        <f t="shared" si="3"/>
        <v>292</v>
      </c>
      <c r="I36" s="1044">
        <f t="shared" si="3"/>
        <v>346</v>
      </c>
      <c r="J36" s="1044">
        <f t="shared" si="3"/>
        <v>327</v>
      </c>
      <c r="K36" s="1044">
        <f t="shared" si="3"/>
        <v>305</v>
      </c>
      <c r="L36" s="1044">
        <f t="shared" si="3"/>
        <v>281</v>
      </c>
      <c r="M36" s="1044">
        <f t="shared" si="3"/>
        <v>238</v>
      </c>
      <c r="N36" s="1044">
        <f t="shared" si="3"/>
        <v>297</v>
      </c>
      <c r="O36" s="1044">
        <f t="shared" si="3"/>
        <v>284</v>
      </c>
      <c r="P36" s="1044">
        <f t="shared" si="3"/>
        <v>257</v>
      </c>
      <c r="Q36" s="1044">
        <f t="shared" si="3"/>
        <v>223</v>
      </c>
      <c r="R36" s="1044">
        <f t="shared" si="3"/>
        <v>257</v>
      </c>
      <c r="T36" s="1068">
        <v>480</v>
      </c>
      <c r="U36" s="1068">
        <v>410</v>
      </c>
      <c r="V36" s="1068">
        <v>364</v>
      </c>
      <c r="W36" s="1068">
        <v>292</v>
      </c>
      <c r="X36" s="1068">
        <v>346</v>
      </c>
      <c r="Y36" s="1068">
        <v>327</v>
      </c>
      <c r="Z36" s="1068">
        <v>305</v>
      </c>
      <c r="AA36" s="1068">
        <v>281</v>
      </c>
      <c r="AB36" s="1068">
        <v>238</v>
      </c>
      <c r="AC36" s="1068">
        <v>297</v>
      </c>
      <c r="AD36" s="1068">
        <v>284</v>
      </c>
      <c r="AE36" s="1068">
        <v>257</v>
      </c>
      <c r="AF36" s="1068">
        <v>223</v>
      </c>
      <c r="AG36" s="1068">
        <v>257</v>
      </c>
    </row>
    <row r="37" spans="1:33" ht="30" customHeight="1" x14ac:dyDescent="0.2">
      <c r="A37" s="2479"/>
      <c r="B37" s="2479"/>
      <c r="C37" s="2474" t="s">
        <v>893</v>
      </c>
      <c r="D37" s="2474"/>
      <c r="E37" s="1044">
        <f t="shared" si="3"/>
        <v>741</v>
      </c>
      <c r="F37" s="1044">
        <f t="shared" si="3"/>
        <v>741</v>
      </c>
      <c r="G37" s="1044">
        <f t="shared" si="3"/>
        <v>741</v>
      </c>
      <c r="H37" s="1044">
        <f t="shared" si="3"/>
        <v>741</v>
      </c>
      <c r="I37" s="1044">
        <f t="shared" si="3"/>
        <v>741</v>
      </c>
      <c r="J37" s="1044">
        <f t="shared" si="3"/>
        <v>741</v>
      </c>
      <c r="K37" s="1044">
        <f t="shared" si="3"/>
        <v>741</v>
      </c>
      <c r="L37" s="1044">
        <f t="shared" si="3"/>
        <v>741</v>
      </c>
      <c r="M37" s="1044">
        <f t="shared" si="3"/>
        <v>741</v>
      </c>
      <c r="N37" s="1044">
        <f t="shared" si="3"/>
        <v>741</v>
      </c>
      <c r="O37" s="1044">
        <f t="shared" si="3"/>
        <v>741</v>
      </c>
      <c r="P37" s="1044">
        <f t="shared" si="3"/>
        <v>741</v>
      </c>
      <c r="Q37" s="1044">
        <f t="shared" si="3"/>
        <v>741</v>
      </c>
      <c r="R37" s="1044">
        <f t="shared" si="3"/>
        <v>741</v>
      </c>
      <c r="T37" s="1068">
        <v>741</v>
      </c>
      <c r="U37" s="1068">
        <v>741</v>
      </c>
      <c r="V37" s="1068">
        <v>741</v>
      </c>
      <c r="W37" s="1068">
        <v>741</v>
      </c>
      <c r="X37" s="1068">
        <v>741</v>
      </c>
      <c r="Y37" s="1068">
        <v>741</v>
      </c>
      <c r="Z37" s="1068">
        <v>741</v>
      </c>
      <c r="AA37" s="1068">
        <v>741</v>
      </c>
      <c r="AB37" s="1068">
        <v>741</v>
      </c>
      <c r="AC37" s="1068">
        <v>741</v>
      </c>
      <c r="AD37" s="1068">
        <v>741</v>
      </c>
      <c r="AE37" s="1068">
        <v>741</v>
      </c>
      <c r="AF37" s="1068">
        <v>741</v>
      </c>
      <c r="AG37" s="1068">
        <v>741</v>
      </c>
    </row>
    <row r="38" spans="1:33" ht="30" customHeight="1" x14ac:dyDescent="0.2">
      <c r="A38" s="2479"/>
      <c r="B38" s="2479"/>
      <c r="C38" s="2474" t="s">
        <v>894</v>
      </c>
      <c r="D38" s="2474"/>
      <c r="E38" s="1044">
        <f t="shared" si="3"/>
        <v>480</v>
      </c>
      <c r="F38" s="1044">
        <f t="shared" si="3"/>
        <v>410</v>
      </c>
      <c r="G38" s="1044">
        <f t="shared" si="3"/>
        <v>364</v>
      </c>
      <c r="H38" s="1044">
        <f t="shared" si="3"/>
        <v>292</v>
      </c>
      <c r="I38" s="1044">
        <f t="shared" si="3"/>
        <v>346</v>
      </c>
      <c r="J38" s="1044">
        <f t="shared" si="3"/>
        <v>327</v>
      </c>
      <c r="K38" s="1044">
        <f t="shared" si="3"/>
        <v>305</v>
      </c>
      <c r="L38" s="1044">
        <f t="shared" si="3"/>
        <v>281</v>
      </c>
      <c r="M38" s="1044">
        <f t="shared" si="3"/>
        <v>238</v>
      </c>
      <c r="N38" s="1044">
        <f t="shared" si="3"/>
        <v>297</v>
      </c>
      <c r="O38" s="1044">
        <f t="shared" si="3"/>
        <v>284</v>
      </c>
      <c r="P38" s="1044">
        <f t="shared" si="3"/>
        <v>257</v>
      </c>
      <c r="Q38" s="1044">
        <f t="shared" si="3"/>
        <v>223</v>
      </c>
      <c r="R38" s="1044">
        <f t="shared" si="3"/>
        <v>257</v>
      </c>
      <c r="T38" s="1068">
        <v>480</v>
      </c>
      <c r="U38" s="1068">
        <v>410</v>
      </c>
      <c r="V38" s="1068">
        <v>364</v>
      </c>
      <c r="W38" s="1068">
        <v>292</v>
      </c>
      <c r="X38" s="1068">
        <v>346</v>
      </c>
      <c r="Y38" s="1068">
        <v>327</v>
      </c>
      <c r="Z38" s="1068">
        <v>305</v>
      </c>
      <c r="AA38" s="1068">
        <v>281</v>
      </c>
      <c r="AB38" s="1068">
        <v>238</v>
      </c>
      <c r="AC38" s="1068">
        <v>297</v>
      </c>
      <c r="AD38" s="1068">
        <v>284</v>
      </c>
      <c r="AE38" s="1068">
        <v>257</v>
      </c>
      <c r="AF38" s="1068">
        <v>223</v>
      </c>
      <c r="AG38" s="1068">
        <v>257</v>
      </c>
    </row>
    <row r="39" spans="1:33" ht="30" customHeight="1" x14ac:dyDescent="0.2">
      <c r="A39" s="2479"/>
      <c r="B39" s="2479"/>
      <c r="C39" s="2475" t="s">
        <v>895</v>
      </c>
      <c r="D39" s="2475"/>
      <c r="E39" s="1053">
        <f t="shared" si="3"/>
        <v>169</v>
      </c>
      <c r="F39" s="1053">
        <f t="shared" si="3"/>
        <v>146</v>
      </c>
      <c r="G39" s="1053">
        <f t="shared" si="3"/>
        <v>130</v>
      </c>
      <c r="H39" s="1053">
        <f t="shared" si="3"/>
        <v>106</v>
      </c>
      <c r="I39" s="1053">
        <f t="shared" si="3"/>
        <v>125</v>
      </c>
      <c r="J39" s="1053">
        <f t="shared" si="3"/>
        <v>118</v>
      </c>
      <c r="K39" s="1053">
        <f t="shared" si="3"/>
        <v>111</v>
      </c>
      <c r="L39" s="1053">
        <f t="shared" si="3"/>
        <v>103</v>
      </c>
      <c r="M39" s="1053">
        <f t="shared" si="3"/>
        <v>88</v>
      </c>
      <c r="N39" s="1053">
        <f t="shared" si="3"/>
        <v>108</v>
      </c>
      <c r="O39" s="1053">
        <f t="shared" si="3"/>
        <v>104</v>
      </c>
      <c r="P39" s="1053">
        <f t="shared" si="3"/>
        <v>95</v>
      </c>
      <c r="Q39" s="1053">
        <f t="shared" si="3"/>
        <v>83</v>
      </c>
      <c r="R39" s="1053">
        <f t="shared" si="3"/>
        <v>95</v>
      </c>
      <c r="T39" s="1068">
        <v>169</v>
      </c>
      <c r="U39" s="1068">
        <v>146</v>
      </c>
      <c r="V39" s="1068">
        <v>130</v>
      </c>
      <c r="W39" s="1068">
        <v>106</v>
      </c>
      <c r="X39" s="1068">
        <v>125</v>
      </c>
      <c r="Y39" s="1068">
        <v>118</v>
      </c>
      <c r="Z39" s="1068">
        <v>111</v>
      </c>
      <c r="AA39" s="1068">
        <v>103</v>
      </c>
      <c r="AB39" s="1068">
        <v>88</v>
      </c>
      <c r="AC39" s="1068">
        <v>108</v>
      </c>
      <c r="AD39" s="1068">
        <v>104</v>
      </c>
      <c r="AE39" s="1068">
        <v>95</v>
      </c>
      <c r="AF39" s="1068">
        <v>83</v>
      </c>
      <c r="AG39" s="1068">
        <v>95</v>
      </c>
    </row>
    <row r="40" spans="1:33" ht="50.1" customHeight="1" x14ac:dyDescent="0.2">
      <c r="A40" s="2479"/>
      <c r="B40" s="2479"/>
      <c r="C40" s="2061" t="s">
        <v>896</v>
      </c>
      <c r="D40" s="1054" t="s">
        <v>897</v>
      </c>
      <c r="E40" s="1042" t="s">
        <v>18</v>
      </c>
      <c r="F40" s="1042" t="s">
        <v>18</v>
      </c>
      <c r="G40" s="1042" t="s">
        <v>18</v>
      </c>
      <c r="H40" s="1042" t="s">
        <v>18</v>
      </c>
      <c r="I40" s="1042" t="s">
        <v>18</v>
      </c>
      <c r="J40" s="1042" t="s">
        <v>18</v>
      </c>
      <c r="K40" s="1042" t="s">
        <v>18</v>
      </c>
      <c r="L40" s="1042" t="s">
        <v>18</v>
      </c>
      <c r="M40" s="1042" t="s">
        <v>18</v>
      </c>
      <c r="N40" s="1042" t="s">
        <v>18</v>
      </c>
      <c r="O40" s="1042" t="s">
        <v>18</v>
      </c>
      <c r="P40" s="1042" t="s">
        <v>18</v>
      </c>
      <c r="Q40" s="1042" t="s">
        <v>18</v>
      </c>
      <c r="R40" s="1042" t="s">
        <v>18</v>
      </c>
      <c r="T40" s="1068" t="s">
        <v>18</v>
      </c>
      <c r="U40" s="1068" t="s">
        <v>18</v>
      </c>
      <c r="V40" s="1068" t="s">
        <v>18</v>
      </c>
      <c r="W40" s="1068" t="s">
        <v>18</v>
      </c>
      <c r="X40" s="1068" t="s">
        <v>18</v>
      </c>
      <c r="Y40" s="1068" t="s">
        <v>18</v>
      </c>
      <c r="Z40" s="1068" t="s">
        <v>18</v>
      </c>
      <c r="AA40" s="1068" t="s">
        <v>18</v>
      </c>
      <c r="AB40" s="1068" t="s">
        <v>18</v>
      </c>
      <c r="AC40" s="1068" t="s">
        <v>18</v>
      </c>
      <c r="AD40" s="1068" t="s">
        <v>18</v>
      </c>
      <c r="AE40" s="1068" t="s">
        <v>18</v>
      </c>
      <c r="AF40" s="1068" t="s">
        <v>18</v>
      </c>
      <c r="AG40" s="1068" t="s">
        <v>18</v>
      </c>
    </row>
    <row r="41" spans="1:33" ht="30" customHeight="1" x14ac:dyDescent="0.2">
      <c r="A41" s="2479"/>
      <c r="B41" s="2479"/>
      <c r="C41" s="2063"/>
      <c r="D41" s="1050" t="s">
        <v>898</v>
      </c>
      <c r="E41" s="1046">
        <f t="shared" ref="E41:R41" si="4">ROUND(T41*BelarusV_Modpe*(1-$B$82),2)</f>
        <v>185</v>
      </c>
      <c r="F41" s="1046">
        <f t="shared" si="4"/>
        <v>160</v>
      </c>
      <c r="G41" s="1046">
        <f t="shared" si="4"/>
        <v>143</v>
      </c>
      <c r="H41" s="1046">
        <f t="shared" si="4"/>
        <v>116</v>
      </c>
      <c r="I41" s="1046">
        <f t="shared" si="4"/>
        <v>136</v>
      </c>
      <c r="J41" s="1046">
        <f t="shared" si="4"/>
        <v>129</v>
      </c>
      <c r="K41" s="1046">
        <f t="shared" si="4"/>
        <v>121</v>
      </c>
      <c r="L41" s="1046">
        <f t="shared" si="4"/>
        <v>112</v>
      </c>
      <c r="M41" s="1046">
        <f t="shared" si="4"/>
        <v>96</v>
      </c>
      <c r="N41" s="1046">
        <f t="shared" si="4"/>
        <v>118</v>
      </c>
      <c r="O41" s="1046">
        <f t="shared" si="4"/>
        <v>113</v>
      </c>
      <c r="P41" s="1046">
        <f t="shared" si="4"/>
        <v>103</v>
      </c>
      <c r="Q41" s="1046">
        <f t="shared" si="4"/>
        <v>91</v>
      </c>
      <c r="R41" s="1046">
        <f t="shared" si="4"/>
        <v>103</v>
      </c>
      <c r="T41" s="1068">
        <v>185</v>
      </c>
      <c r="U41" s="1068">
        <v>160</v>
      </c>
      <c r="V41" s="1068">
        <v>143</v>
      </c>
      <c r="W41" s="1068">
        <v>116</v>
      </c>
      <c r="X41" s="1068">
        <v>136</v>
      </c>
      <c r="Y41" s="1068">
        <v>129</v>
      </c>
      <c r="Z41" s="1068">
        <v>121</v>
      </c>
      <c r="AA41" s="1068">
        <v>112</v>
      </c>
      <c r="AB41" s="1068">
        <v>96</v>
      </c>
      <c r="AC41" s="1068">
        <v>118</v>
      </c>
      <c r="AD41" s="1068">
        <v>113</v>
      </c>
      <c r="AE41" s="1068">
        <v>103</v>
      </c>
      <c r="AF41" s="1068">
        <v>91</v>
      </c>
      <c r="AG41" s="1068">
        <v>103</v>
      </c>
    </row>
    <row r="42" spans="1:33" ht="15" customHeight="1" x14ac:dyDescent="0.3">
      <c r="A42" s="252"/>
      <c r="B42" s="16"/>
      <c r="C42" s="16"/>
      <c r="D42" s="16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T42" s="1068"/>
      <c r="U42" s="1068"/>
      <c r="V42" s="1068"/>
      <c r="W42" s="1068"/>
      <c r="X42" s="1068"/>
      <c r="Y42" s="1068"/>
      <c r="Z42" s="1068"/>
      <c r="AA42" s="1068"/>
      <c r="AB42" s="1068"/>
      <c r="AC42" s="1068"/>
      <c r="AD42" s="1068"/>
      <c r="AE42" s="1068"/>
      <c r="AF42" s="1068"/>
      <c r="AG42" s="1068"/>
    </row>
    <row r="43" spans="1:33" ht="30" customHeight="1" x14ac:dyDescent="0.2">
      <c r="A43" s="2477" t="s">
        <v>901</v>
      </c>
      <c r="B43" s="2478"/>
      <c r="C43" s="2478"/>
      <c r="D43" s="2478"/>
      <c r="E43" s="1047"/>
      <c r="F43" s="1047"/>
      <c r="G43" s="1047"/>
      <c r="H43" s="1047"/>
      <c r="I43" s="1047"/>
      <c r="J43" s="1047"/>
      <c r="K43" s="1047"/>
      <c r="L43" s="1047"/>
      <c r="M43" s="1047"/>
      <c r="N43" s="1047"/>
      <c r="O43" s="1047"/>
      <c r="P43" s="1047"/>
      <c r="Q43" s="1047"/>
      <c r="R43" s="1048"/>
      <c r="T43" s="1068"/>
      <c r="U43" s="1068"/>
      <c r="V43" s="1068"/>
      <c r="W43" s="1068"/>
      <c r="X43" s="1068"/>
      <c r="Y43" s="1068"/>
      <c r="Z43" s="1068"/>
      <c r="AA43" s="1068"/>
      <c r="AB43" s="1068"/>
      <c r="AC43" s="1068"/>
      <c r="AD43" s="1068"/>
      <c r="AE43" s="1068"/>
      <c r="AF43" s="1068"/>
      <c r="AG43" s="1068"/>
    </row>
    <row r="44" spans="1:33" ht="30" customHeight="1" x14ac:dyDescent="0.2">
      <c r="A44" s="2479"/>
      <c r="B44" s="2479"/>
      <c r="C44" s="2468" t="s">
        <v>902</v>
      </c>
      <c r="D44" s="2468"/>
      <c r="E44" s="1042">
        <f t="shared" ref="E44:E68" si="5">ROUND(T44*BelarusV_Modpe*(1-$B$82),2)</f>
        <v>310</v>
      </c>
      <c r="F44" s="1042">
        <f t="shared" ref="F44:F68" si="6">ROUND(U44*BelarusV_Modpe*(1-$B$82),2)</f>
        <v>266</v>
      </c>
      <c r="G44" s="1042">
        <f t="shared" ref="G44:G68" si="7">ROUND(V44*BelarusV_Modpe*(1-$B$82),2)</f>
        <v>237</v>
      </c>
      <c r="H44" s="1042">
        <f t="shared" ref="H44:H68" si="8">ROUND(W44*BelarusV_Modpe*(1-$B$82),2)</f>
        <v>190</v>
      </c>
      <c r="I44" s="1042">
        <f t="shared" ref="I44:I68" si="9">ROUND(X44*BelarusV_Modpe*(1-$B$82),2)</f>
        <v>225</v>
      </c>
      <c r="J44" s="1042">
        <f t="shared" ref="J44:J68" si="10">ROUND(Y44*BelarusV_Modpe*(1-$B$82),2)</f>
        <v>213</v>
      </c>
      <c r="K44" s="1042">
        <f t="shared" ref="K44:K68" si="11">ROUND(Z44*BelarusV_Modpe*(1-$B$82),2)</f>
        <v>199</v>
      </c>
      <c r="L44" s="1042">
        <f t="shared" ref="L44:L68" si="12">ROUND(AA44*BelarusV_Modpe*(1-$B$82),2)</f>
        <v>184</v>
      </c>
      <c r="M44" s="1042">
        <f t="shared" ref="M44:M68" si="13">ROUND(AB44*BelarusV_Modpe*(1-$B$82),2)</f>
        <v>156</v>
      </c>
      <c r="N44" s="1042">
        <f t="shared" ref="N44:N68" si="14">ROUND(AC44*BelarusV_Modpe*(1-$B$82),2)</f>
        <v>194</v>
      </c>
      <c r="O44" s="1042">
        <f t="shared" ref="O44:O68" si="15">ROUND(AD44*BelarusV_Modpe*(1-$B$82),2)</f>
        <v>185</v>
      </c>
      <c r="P44" s="1042">
        <f t="shared" ref="P44:P68" si="16">ROUND(AE44*BelarusV_Modpe*(1-$B$82),2)</f>
        <v>169</v>
      </c>
      <c r="Q44" s="1042">
        <f t="shared" ref="Q44:Q68" si="17">ROUND(AF44*BelarusV_Modpe*(1-$B$82),2)</f>
        <v>147</v>
      </c>
      <c r="R44" s="1042">
        <f t="shared" ref="R44:R68" si="18">ROUND(AG44*BelarusV_Modpe*(1-$B$82),2)</f>
        <v>162</v>
      </c>
      <c r="T44" s="1068">
        <v>310</v>
      </c>
      <c r="U44" s="1068">
        <v>266</v>
      </c>
      <c r="V44" s="1068">
        <v>237</v>
      </c>
      <c r="W44" s="1068">
        <v>190</v>
      </c>
      <c r="X44" s="1068">
        <v>225</v>
      </c>
      <c r="Y44" s="1068">
        <v>213</v>
      </c>
      <c r="Z44" s="1068">
        <v>199</v>
      </c>
      <c r="AA44" s="1068">
        <v>184</v>
      </c>
      <c r="AB44" s="1068">
        <v>156</v>
      </c>
      <c r="AC44" s="1068">
        <v>194</v>
      </c>
      <c r="AD44" s="1068">
        <v>185</v>
      </c>
      <c r="AE44" s="1068">
        <v>169</v>
      </c>
      <c r="AF44" s="1068">
        <v>147</v>
      </c>
      <c r="AG44" s="1068">
        <v>162</v>
      </c>
    </row>
    <row r="45" spans="1:33" ht="30" customHeight="1" x14ac:dyDescent="0.2">
      <c r="A45" s="2479"/>
      <c r="B45" s="2479"/>
      <c r="C45" s="2484" t="s">
        <v>903</v>
      </c>
      <c r="D45" s="2484"/>
      <c r="E45" s="1046">
        <f t="shared" si="5"/>
        <v>310</v>
      </c>
      <c r="F45" s="1046">
        <f t="shared" si="6"/>
        <v>266</v>
      </c>
      <c r="G45" s="1046">
        <f t="shared" si="7"/>
        <v>237</v>
      </c>
      <c r="H45" s="1046">
        <f t="shared" si="8"/>
        <v>190</v>
      </c>
      <c r="I45" s="1046">
        <f t="shared" si="9"/>
        <v>225</v>
      </c>
      <c r="J45" s="1046">
        <f t="shared" si="10"/>
        <v>213</v>
      </c>
      <c r="K45" s="1046">
        <f t="shared" si="11"/>
        <v>199</v>
      </c>
      <c r="L45" s="1046">
        <f t="shared" si="12"/>
        <v>184</v>
      </c>
      <c r="M45" s="1046">
        <f t="shared" si="13"/>
        <v>156</v>
      </c>
      <c r="N45" s="1046">
        <f t="shared" si="14"/>
        <v>194</v>
      </c>
      <c r="O45" s="1046">
        <f t="shared" si="15"/>
        <v>185</v>
      </c>
      <c r="P45" s="1046">
        <f t="shared" si="16"/>
        <v>169</v>
      </c>
      <c r="Q45" s="1046">
        <f t="shared" si="17"/>
        <v>147</v>
      </c>
      <c r="R45" s="1046">
        <f t="shared" si="18"/>
        <v>162</v>
      </c>
      <c r="T45" s="1068">
        <v>310</v>
      </c>
      <c r="U45" s="1068">
        <v>266</v>
      </c>
      <c r="V45" s="1068">
        <v>237</v>
      </c>
      <c r="W45" s="1068">
        <v>190</v>
      </c>
      <c r="X45" s="1068">
        <v>225</v>
      </c>
      <c r="Y45" s="1068">
        <v>213</v>
      </c>
      <c r="Z45" s="1068">
        <v>199</v>
      </c>
      <c r="AA45" s="1068">
        <v>184</v>
      </c>
      <c r="AB45" s="1068">
        <v>156</v>
      </c>
      <c r="AC45" s="1068">
        <v>194</v>
      </c>
      <c r="AD45" s="1068">
        <v>185</v>
      </c>
      <c r="AE45" s="1068">
        <v>169</v>
      </c>
      <c r="AF45" s="1068">
        <v>147</v>
      </c>
      <c r="AG45" s="1068">
        <v>162</v>
      </c>
    </row>
    <row r="46" spans="1:33" ht="30" customHeight="1" x14ac:dyDescent="0.2">
      <c r="A46" s="2479"/>
      <c r="B46" s="2479"/>
      <c r="C46" s="2468" t="s">
        <v>904</v>
      </c>
      <c r="D46" s="2468"/>
      <c r="E46" s="1042">
        <f t="shared" si="5"/>
        <v>557</v>
      </c>
      <c r="F46" s="1042">
        <f t="shared" si="6"/>
        <v>476</v>
      </c>
      <c r="G46" s="1042">
        <f t="shared" si="7"/>
        <v>422</v>
      </c>
      <c r="H46" s="1042">
        <f t="shared" si="8"/>
        <v>338</v>
      </c>
      <c r="I46" s="1042">
        <f t="shared" si="9"/>
        <v>402</v>
      </c>
      <c r="J46" s="1042">
        <f t="shared" si="10"/>
        <v>379</v>
      </c>
      <c r="K46" s="1042">
        <f t="shared" si="11"/>
        <v>353</v>
      </c>
      <c r="L46" s="1042">
        <f t="shared" si="12"/>
        <v>326</v>
      </c>
      <c r="M46" s="1042">
        <f t="shared" si="13"/>
        <v>275</v>
      </c>
      <c r="N46" s="1042">
        <f t="shared" si="14"/>
        <v>345</v>
      </c>
      <c r="O46" s="1042">
        <f t="shared" si="15"/>
        <v>329</v>
      </c>
      <c r="P46" s="1042">
        <f t="shared" si="16"/>
        <v>298</v>
      </c>
      <c r="Q46" s="1042">
        <f t="shared" si="17"/>
        <v>257</v>
      </c>
      <c r="R46" s="1042">
        <f t="shared" si="18"/>
        <v>285</v>
      </c>
      <c r="T46" s="1068">
        <v>557</v>
      </c>
      <c r="U46" s="1068">
        <v>476</v>
      </c>
      <c r="V46" s="1068">
        <v>422</v>
      </c>
      <c r="W46" s="1068">
        <v>338</v>
      </c>
      <c r="X46" s="1068">
        <v>402</v>
      </c>
      <c r="Y46" s="1068">
        <v>379</v>
      </c>
      <c r="Z46" s="1068">
        <v>353</v>
      </c>
      <c r="AA46" s="1068">
        <v>326</v>
      </c>
      <c r="AB46" s="1068">
        <v>275</v>
      </c>
      <c r="AC46" s="1068">
        <v>345</v>
      </c>
      <c r="AD46" s="1068">
        <v>329</v>
      </c>
      <c r="AE46" s="1068">
        <v>298</v>
      </c>
      <c r="AF46" s="1068">
        <v>257</v>
      </c>
      <c r="AG46" s="1068">
        <v>285</v>
      </c>
    </row>
    <row r="47" spans="1:33" ht="30" customHeight="1" x14ac:dyDescent="0.2">
      <c r="A47" s="2479"/>
      <c r="B47" s="2479"/>
      <c r="C47" s="2484" t="s">
        <v>905</v>
      </c>
      <c r="D47" s="2484"/>
      <c r="E47" s="1046">
        <f t="shared" si="5"/>
        <v>376</v>
      </c>
      <c r="F47" s="1046">
        <f t="shared" si="6"/>
        <v>322</v>
      </c>
      <c r="G47" s="1046">
        <f t="shared" si="7"/>
        <v>286</v>
      </c>
      <c r="H47" s="1046">
        <f t="shared" si="8"/>
        <v>230</v>
      </c>
      <c r="I47" s="1046">
        <f t="shared" si="9"/>
        <v>272</v>
      </c>
      <c r="J47" s="1046">
        <f t="shared" si="10"/>
        <v>257</v>
      </c>
      <c r="K47" s="1046">
        <f t="shared" si="11"/>
        <v>240</v>
      </c>
      <c r="L47" s="1046">
        <f t="shared" si="12"/>
        <v>222</v>
      </c>
      <c r="M47" s="1046">
        <f t="shared" si="13"/>
        <v>188</v>
      </c>
      <c r="N47" s="1046">
        <f t="shared" si="14"/>
        <v>234</v>
      </c>
      <c r="O47" s="1046">
        <f t="shared" si="15"/>
        <v>224</v>
      </c>
      <c r="P47" s="1046">
        <f t="shared" si="16"/>
        <v>203</v>
      </c>
      <c r="Q47" s="1046">
        <f t="shared" si="17"/>
        <v>176</v>
      </c>
      <c r="R47" s="1046">
        <f t="shared" si="18"/>
        <v>195</v>
      </c>
      <c r="T47" s="1068">
        <v>376</v>
      </c>
      <c r="U47" s="1068">
        <v>322</v>
      </c>
      <c r="V47" s="1068">
        <v>286</v>
      </c>
      <c r="W47" s="1068">
        <v>230</v>
      </c>
      <c r="X47" s="1068">
        <v>272</v>
      </c>
      <c r="Y47" s="1068">
        <v>257</v>
      </c>
      <c r="Z47" s="1068">
        <v>240</v>
      </c>
      <c r="AA47" s="1068">
        <v>222</v>
      </c>
      <c r="AB47" s="1068">
        <v>188</v>
      </c>
      <c r="AC47" s="1068">
        <v>234</v>
      </c>
      <c r="AD47" s="1068">
        <v>224</v>
      </c>
      <c r="AE47" s="1068">
        <v>203</v>
      </c>
      <c r="AF47" s="1068">
        <v>176</v>
      </c>
      <c r="AG47" s="1068">
        <v>195</v>
      </c>
    </row>
    <row r="48" spans="1:33" ht="30" customHeight="1" x14ac:dyDescent="0.2">
      <c r="A48" s="2479"/>
      <c r="B48" s="2479"/>
      <c r="C48" s="2468" t="s">
        <v>906</v>
      </c>
      <c r="D48" s="2468"/>
      <c r="E48" s="1042">
        <f t="shared" si="5"/>
        <v>666</v>
      </c>
      <c r="F48" s="1042">
        <f t="shared" si="6"/>
        <v>568</v>
      </c>
      <c r="G48" s="1042">
        <f t="shared" si="7"/>
        <v>504</v>
      </c>
      <c r="H48" s="1042">
        <f t="shared" si="8"/>
        <v>403</v>
      </c>
      <c r="I48" s="1042">
        <f t="shared" si="9"/>
        <v>479</v>
      </c>
      <c r="J48" s="1042">
        <f t="shared" si="10"/>
        <v>452</v>
      </c>
      <c r="K48" s="1042">
        <f t="shared" si="11"/>
        <v>421</v>
      </c>
      <c r="L48" s="1042">
        <f t="shared" si="12"/>
        <v>388</v>
      </c>
      <c r="M48" s="1042">
        <f t="shared" si="13"/>
        <v>328</v>
      </c>
      <c r="N48" s="1042">
        <f t="shared" si="14"/>
        <v>411</v>
      </c>
      <c r="O48" s="1042">
        <f t="shared" si="15"/>
        <v>392</v>
      </c>
      <c r="P48" s="1042">
        <f t="shared" si="16"/>
        <v>355</v>
      </c>
      <c r="Q48" s="1042">
        <f t="shared" si="17"/>
        <v>306</v>
      </c>
      <c r="R48" s="1042">
        <f t="shared" si="18"/>
        <v>340</v>
      </c>
      <c r="T48" s="1068">
        <v>666</v>
      </c>
      <c r="U48" s="1068">
        <v>568</v>
      </c>
      <c r="V48" s="1068">
        <v>504</v>
      </c>
      <c r="W48" s="1068">
        <v>403</v>
      </c>
      <c r="X48" s="1068">
        <v>479</v>
      </c>
      <c r="Y48" s="1068">
        <v>452</v>
      </c>
      <c r="Z48" s="1068">
        <v>421</v>
      </c>
      <c r="AA48" s="1068">
        <v>388</v>
      </c>
      <c r="AB48" s="1068">
        <v>328</v>
      </c>
      <c r="AC48" s="1068">
        <v>411</v>
      </c>
      <c r="AD48" s="1068">
        <v>392</v>
      </c>
      <c r="AE48" s="1068">
        <v>355</v>
      </c>
      <c r="AF48" s="1068">
        <v>306</v>
      </c>
      <c r="AG48" s="1068">
        <v>340</v>
      </c>
    </row>
    <row r="49" spans="1:33" ht="30" customHeight="1" x14ac:dyDescent="0.2">
      <c r="A49" s="2479"/>
      <c r="B49" s="2479"/>
      <c r="C49" s="2484" t="s">
        <v>907</v>
      </c>
      <c r="D49" s="2484"/>
      <c r="E49" s="1046">
        <f t="shared" si="5"/>
        <v>421</v>
      </c>
      <c r="F49" s="1046">
        <f t="shared" si="6"/>
        <v>360</v>
      </c>
      <c r="G49" s="1046">
        <f t="shared" si="7"/>
        <v>320</v>
      </c>
      <c r="H49" s="1046">
        <f t="shared" si="8"/>
        <v>257</v>
      </c>
      <c r="I49" s="1046">
        <f t="shared" si="9"/>
        <v>305</v>
      </c>
      <c r="J49" s="1046">
        <f t="shared" si="10"/>
        <v>288</v>
      </c>
      <c r="K49" s="1046">
        <f t="shared" si="11"/>
        <v>268</v>
      </c>
      <c r="L49" s="1046">
        <f t="shared" si="12"/>
        <v>248</v>
      </c>
      <c r="M49" s="1046">
        <f t="shared" si="13"/>
        <v>210</v>
      </c>
      <c r="N49" s="1046">
        <f t="shared" si="14"/>
        <v>262</v>
      </c>
      <c r="O49" s="1046">
        <f t="shared" si="15"/>
        <v>250</v>
      </c>
      <c r="P49" s="1046">
        <f t="shared" si="16"/>
        <v>227</v>
      </c>
      <c r="Q49" s="1046">
        <f t="shared" si="17"/>
        <v>197</v>
      </c>
      <c r="R49" s="1046">
        <f t="shared" si="18"/>
        <v>218</v>
      </c>
      <c r="T49" s="1068">
        <v>421</v>
      </c>
      <c r="U49" s="1068">
        <v>360</v>
      </c>
      <c r="V49" s="1068">
        <v>320</v>
      </c>
      <c r="W49" s="1068">
        <v>257</v>
      </c>
      <c r="X49" s="1068">
        <v>305</v>
      </c>
      <c r="Y49" s="1068">
        <v>288</v>
      </c>
      <c r="Z49" s="1068">
        <v>268</v>
      </c>
      <c r="AA49" s="1068">
        <v>248</v>
      </c>
      <c r="AB49" s="1068">
        <v>210</v>
      </c>
      <c r="AC49" s="1068">
        <v>262</v>
      </c>
      <c r="AD49" s="1068">
        <v>250</v>
      </c>
      <c r="AE49" s="1068">
        <v>227</v>
      </c>
      <c r="AF49" s="1068">
        <v>197</v>
      </c>
      <c r="AG49" s="1068">
        <v>218</v>
      </c>
    </row>
    <row r="50" spans="1:33" ht="30" customHeight="1" x14ac:dyDescent="0.2">
      <c r="A50" s="2479"/>
      <c r="B50" s="2479"/>
      <c r="C50" s="2468" t="s">
        <v>908</v>
      </c>
      <c r="D50" s="2468"/>
      <c r="E50" s="1042">
        <f t="shared" si="5"/>
        <v>666</v>
      </c>
      <c r="F50" s="1042">
        <f t="shared" si="6"/>
        <v>568</v>
      </c>
      <c r="G50" s="1042">
        <f t="shared" si="7"/>
        <v>504</v>
      </c>
      <c r="H50" s="1042">
        <f t="shared" si="8"/>
        <v>403</v>
      </c>
      <c r="I50" s="1042">
        <f t="shared" si="9"/>
        <v>479</v>
      </c>
      <c r="J50" s="1042">
        <f t="shared" si="10"/>
        <v>452</v>
      </c>
      <c r="K50" s="1042">
        <f t="shared" si="11"/>
        <v>421</v>
      </c>
      <c r="L50" s="1042">
        <f t="shared" si="12"/>
        <v>388</v>
      </c>
      <c r="M50" s="1042">
        <f t="shared" si="13"/>
        <v>328</v>
      </c>
      <c r="N50" s="1042">
        <f t="shared" si="14"/>
        <v>411</v>
      </c>
      <c r="O50" s="1042">
        <f t="shared" si="15"/>
        <v>392</v>
      </c>
      <c r="P50" s="1042">
        <f t="shared" si="16"/>
        <v>355</v>
      </c>
      <c r="Q50" s="1042">
        <f t="shared" si="17"/>
        <v>306</v>
      </c>
      <c r="R50" s="1042">
        <f t="shared" si="18"/>
        <v>421</v>
      </c>
      <c r="T50" s="1068">
        <v>666</v>
      </c>
      <c r="U50" s="1068">
        <v>568</v>
      </c>
      <c r="V50" s="1068">
        <v>504</v>
      </c>
      <c r="W50" s="1068">
        <v>403</v>
      </c>
      <c r="X50" s="1068">
        <v>479</v>
      </c>
      <c r="Y50" s="1068">
        <v>452</v>
      </c>
      <c r="Z50" s="1068">
        <v>421</v>
      </c>
      <c r="AA50" s="1068">
        <v>388</v>
      </c>
      <c r="AB50" s="1068">
        <v>328</v>
      </c>
      <c r="AC50" s="1068">
        <v>411</v>
      </c>
      <c r="AD50" s="1068">
        <v>392</v>
      </c>
      <c r="AE50" s="1068">
        <v>355</v>
      </c>
      <c r="AF50" s="1068">
        <v>306</v>
      </c>
      <c r="AG50" s="1068">
        <v>421</v>
      </c>
    </row>
    <row r="51" spans="1:33" ht="30" customHeight="1" x14ac:dyDescent="0.2">
      <c r="A51" s="2479"/>
      <c r="B51" s="2479"/>
      <c r="C51" s="2484" t="s">
        <v>909</v>
      </c>
      <c r="D51" s="2484"/>
      <c r="E51" s="1046">
        <f t="shared" si="5"/>
        <v>480</v>
      </c>
      <c r="F51" s="1046">
        <f t="shared" si="6"/>
        <v>410</v>
      </c>
      <c r="G51" s="1046">
        <f t="shared" si="7"/>
        <v>364</v>
      </c>
      <c r="H51" s="1046">
        <f t="shared" si="8"/>
        <v>292</v>
      </c>
      <c r="I51" s="1046">
        <f t="shared" si="9"/>
        <v>346</v>
      </c>
      <c r="J51" s="1046">
        <f t="shared" si="10"/>
        <v>327</v>
      </c>
      <c r="K51" s="1046">
        <f t="shared" si="11"/>
        <v>305</v>
      </c>
      <c r="L51" s="1046">
        <f t="shared" si="12"/>
        <v>281</v>
      </c>
      <c r="M51" s="1046">
        <f t="shared" si="13"/>
        <v>238</v>
      </c>
      <c r="N51" s="1046">
        <f t="shared" si="14"/>
        <v>297</v>
      </c>
      <c r="O51" s="1046">
        <f t="shared" si="15"/>
        <v>284</v>
      </c>
      <c r="P51" s="1046">
        <f t="shared" si="16"/>
        <v>257</v>
      </c>
      <c r="Q51" s="1046">
        <f t="shared" si="17"/>
        <v>223</v>
      </c>
      <c r="R51" s="1046">
        <f t="shared" si="18"/>
        <v>247</v>
      </c>
      <c r="T51" s="1068">
        <v>480</v>
      </c>
      <c r="U51" s="1068">
        <v>410</v>
      </c>
      <c r="V51" s="1068">
        <v>364</v>
      </c>
      <c r="W51" s="1068">
        <v>292</v>
      </c>
      <c r="X51" s="1068">
        <v>346</v>
      </c>
      <c r="Y51" s="1068">
        <v>327</v>
      </c>
      <c r="Z51" s="1068">
        <v>305</v>
      </c>
      <c r="AA51" s="1068">
        <v>281</v>
      </c>
      <c r="AB51" s="1068">
        <v>238</v>
      </c>
      <c r="AC51" s="1068">
        <v>297</v>
      </c>
      <c r="AD51" s="1068">
        <v>284</v>
      </c>
      <c r="AE51" s="1068">
        <v>257</v>
      </c>
      <c r="AF51" s="1068">
        <v>223</v>
      </c>
      <c r="AG51" s="1068">
        <v>247</v>
      </c>
    </row>
    <row r="52" spans="1:33" ht="30" customHeight="1" x14ac:dyDescent="0.2">
      <c r="A52" s="2479"/>
      <c r="B52" s="2479"/>
      <c r="C52" s="2468" t="s">
        <v>910</v>
      </c>
      <c r="D52" s="2468"/>
      <c r="E52" s="1042">
        <f t="shared" si="5"/>
        <v>829</v>
      </c>
      <c r="F52" s="1042">
        <f t="shared" si="6"/>
        <v>707</v>
      </c>
      <c r="G52" s="1042">
        <f t="shared" si="7"/>
        <v>627</v>
      </c>
      <c r="H52" s="1042">
        <f t="shared" si="8"/>
        <v>500</v>
      </c>
      <c r="I52" s="1042">
        <f t="shared" si="9"/>
        <v>596</v>
      </c>
      <c r="J52" s="1042">
        <f t="shared" si="10"/>
        <v>561</v>
      </c>
      <c r="K52" s="1042">
        <f t="shared" si="11"/>
        <v>523</v>
      </c>
      <c r="L52" s="1042">
        <f t="shared" si="12"/>
        <v>482</v>
      </c>
      <c r="M52" s="1042">
        <f t="shared" si="13"/>
        <v>406</v>
      </c>
      <c r="N52" s="1042">
        <f t="shared" si="14"/>
        <v>510</v>
      </c>
      <c r="O52" s="1042">
        <f t="shared" si="15"/>
        <v>486</v>
      </c>
      <c r="P52" s="1042">
        <f t="shared" si="16"/>
        <v>440</v>
      </c>
      <c r="Q52" s="1042">
        <f t="shared" si="17"/>
        <v>379</v>
      </c>
      <c r="R52" s="1042">
        <f t="shared" si="18"/>
        <v>421</v>
      </c>
      <c r="T52" s="1068">
        <v>829</v>
      </c>
      <c r="U52" s="1068">
        <v>707</v>
      </c>
      <c r="V52" s="1068">
        <v>627</v>
      </c>
      <c r="W52" s="1068">
        <v>500</v>
      </c>
      <c r="X52" s="1068">
        <v>596</v>
      </c>
      <c r="Y52" s="1068">
        <v>561</v>
      </c>
      <c r="Z52" s="1068">
        <v>523</v>
      </c>
      <c r="AA52" s="1068">
        <v>482</v>
      </c>
      <c r="AB52" s="1068">
        <v>406</v>
      </c>
      <c r="AC52" s="1068">
        <v>510</v>
      </c>
      <c r="AD52" s="1068">
        <v>486</v>
      </c>
      <c r="AE52" s="1068">
        <v>440</v>
      </c>
      <c r="AF52" s="1068">
        <v>379</v>
      </c>
      <c r="AG52" s="1068">
        <v>421</v>
      </c>
    </row>
    <row r="53" spans="1:33" ht="30" customHeight="1" x14ac:dyDescent="0.2">
      <c r="A53" s="2479"/>
      <c r="B53" s="2479"/>
      <c r="C53" s="2484" t="s">
        <v>911</v>
      </c>
      <c r="D53" s="2484"/>
      <c r="E53" s="1046">
        <f t="shared" si="5"/>
        <v>666</v>
      </c>
      <c r="F53" s="1046">
        <f t="shared" si="6"/>
        <v>568</v>
      </c>
      <c r="G53" s="1046">
        <f t="shared" si="7"/>
        <v>504</v>
      </c>
      <c r="H53" s="1046">
        <f t="shared" si="8"/>
        <v>403</v>
      </c>
      <c r="I53" s="1046">
        <f t="shared" si="9"/>
        <v>479</v>
      </c>
      <c r="J53" s="1046">
        <f t="shared" si="10"/>
        <v>452</v>
      </c>
      <c r="K53" s="1046">
        <f t="shared" si="11"/>
        <v>421</v>
      </c>
      <c r="L53" s="1046">
        <f t="shared" si="12"/>
        <v>388</v>
      </c>
      <c r="M53" s="1046">
        <f t="shared" si="13"/>
        <v>328</v>
      </c>
      <c r="N53" s="1046">
        <f t="shared" si="14"/>
        <v>411</v>
      </c>
      <c r="O53" s="1046">
        <f t="shared" si="15"/>
        <v>392</v>
      </c>
      <c r="P53" s="1046">
        <f t="shared" si="16"/>
        <v>355</v>
      </c>
      <c r="Q53" s="1046">
        <f t="shared" si="17"/>
        <v>306</v>
      </c>
      <c r="R53" s="1046">
        <f t="shared" si="18"/>
        <v>340</v>
      </c>
      <c r="T53" s="1068">
        <v>666</v>
      </c>
      <c r="U53" s="1068">
        <v>568</v>
      </c>
      <c r="V53" s="1068">
        <v>504</v>
      </c>
      <c r="W53" s="1068">
        <v>403</v>
      </c>
      <c r="X53" s="1068">
        <v>479</v>
      </c>
      <c r="Y53" s="1068">
        <v>452</v>
      </c>
      <c r="Z53" s="1068">
        <v>421</v>
      </c>
      <c r="AA53" s="1068">
        <v>388</v>
      </c>
      <c r="AB53" s="1068">
        <v>328</v>
      </c>
      <c r="AC53" s="1068">
        <v>411</v>
      </c>
      <c r="AD53" s="1068">
        <v>392</v>
      </c>
      <c r="AE53" s="1068">
        <v>355</v>
      </c>
      <c r="AF53" s="1068">
        <v>306</v>
      </c>
      <c r="AG53" s="1068">
        <v>340</v>
      </c>
    </row>
    <row r="54" spans="1:33" ht="30" customHeight="1" x14ac:dyDescent="0.2">
      <c r="A54" s="2479"/>
      <c r="B54" s="2479"/>
      <c r="C54" s="2468" t="s">
        <v>912</v>
      </c>
      <c r="D54" s="2468"/>
      <c r="E54" s="1042">
        <f t="shared" si="5"/>
        <v>247</v>
      </c>
      <c r="F54" s="1042">
        <f t="shared" si="6"/>
        <v>245</v>
      </c>
      <c r="G54" s="1042">
        <f t="shared" si="7"/>
        <v>189</v>
      </c>
      <c r="H54" s="1042">
        <f t="shared" si="8"/>
        <v>153</v>
      </c>
      <c r="I54" s="1042">
        <f t="shared" si="9"/>
        <v>180</v>
      </c>
      <c r="J54" s="1042">
        <f t="shared" si="10"/>
        <v>170</v>
      </c>
      <c r="K54" s="1042">
        <f t="shared" si="11"/>
        <v>159</v>
      </c>
      <c r="L54" s="1042">
        <f t="shared" si="12"/>
        <v>147</v>
      </c>
      <c r="M54" s="1042">
        <f t="shared" si="13"/>
        <v>126</v>
      </c>
      <c r="N54" s="1042">
        <f t="shared" si="14"/>
        <v>155</v>
      </c>
      <c r="O54" s="1042">
        <f t="shared" si="15"/>
        <v>149</v>
      </c>
      <c r="P54" s="1042">
        <f t="shared" si="16"/>
        <v>135</v>
      </c>
      <c r="Q54" s="1042">
        <f t="shared" si="17"/>
        <v>118</v>
      </c>
      <c r="R54" s="1042">
        <f t="shared" si="18"/>
        <v>340</v>
      </c>
      <c r="T54" s="1068">
        <v>247</v>
      </c>
      <c r="U54" s="1068">
        <v>245</v>
      </c>
      <c r="V54" s="1068">
        <v>189</v>
      </c>
      <c r="W54" s="1068">
        <v>153</v>
      </c>
      <c r="X54" s="1068">
        <v>180</v>
      </c>
      <c r="Y54" s="1068">
        <v>170</v>
      </c>
      <c r="Z54" s="1068">
        <v>159</v>
      </c>
      <c r="AA54" s="1068">
        <v>147</v>
      </c>
      <c r="AB54" s="1068">
        <v>126</v>
      </c>
      <c r="AC54" s="1068">
        <v>155</v>
      </c>
      <c r="AD54" s="1068">
        <v>149</v>
      </c>
      <c r="AE54" s="1068">
        <v>135</v>
      </c>
      <c r="AF54" s="1068">
        <v>118</v>
      </c>
      <c r="AG54" s="1068">
        <v>340</v>
      </c>
    </row>
    <row r="55" spans="1:33" ht="30" customHeight="1" x14ac:dyDescent="0.2">
      <c r="A55" s="2479"/>
      <c r="B55" s="2479"/>
      <c r="C55" s="2474" t="s">
        <v>913</v>
      </c>
      <c r="D55" s="2474"/>
      <c r="E55" s="1044">
        <f t="shared" si="5"/>
        <v>286</v>
      </c>
      <c r="F55" s="1044">
        <f t="shared" si="6"/>
        <v>245</v>
      </c>
      <c r="G55" s="1044">
        <f t="shared" si="7"/>
        <v>218</v>
      </c>
      <c r="H55" s="1044">
        <f t="shared" si="8"/>
        <v>176</v>
      </c>
      <c r="I55" s="1044">
        <f t="shared" si="9"/>
        <v>208</v>
      </c>
      <c r="J55" s="1044">
        <f t="shared" si="10"/>
        <v>196</v>
      </c>
      <c r="K55" s="1044">
        <f t="shared" si="11"/>
        <v>183</v>
      </c>
      <c r="L55" s="1044">
        <f t="shared" si="12"/>
        <v>170</v>
      </c>
      <c r="M55" s="1044">
        <f t="shared" si="13"/>
        <v>144</v>
      </c>
      <c r="N55" s="1044">
        <f t="shared" si="14"/>
        <v>179</v>
      </c>
      <c r="O55" s="1044">
        <f t="shared" si="15"/>
        <v>171</v>
      </c>
      <c r="P55" s="1044">
        <f t="shared" si="16"/>
        <v>156</v>
      </c>
      <c r="Q55" s="1044">
        <f t="shared" si="17"/>
        <v>136</v>
      </c>
      <c r="R55" s="1044">
        <f t="shared" si="18"/>
        <v>150</v>
      </c>
      <c r="T55" s="1068">
        <v>286</v>
      </c>
      <c r="U55" s="1068">
        <v>245</v>
      </c>
      <c r="V55" s="1068">
        <v>218</v>
      </c>
      <c r="W55" s="1068">
        <v>176</v>
      </c>
      <c r="X55" s="1068">
        <v>208</v>
      </c>
      <c r="Y55" s="1068">
        <v>196</v>
      </c>
      <c r="Z55" s="1068">
        <v>183</v>
      </c>
      <c r="AA55" s="1068">
        <v>170</v>
      </c>
      <c r="AB55" s="1068">
        <v>144</v>
      </c>
      <c r="AC55" s="1068">
        <v>179</v>
      </c>
      <c r="AD55" s="1068">
        <v>171</v>
      </c>
      <c r="AE55" s="1068">
        <v>156</v>
      </c>
      <c r="AF55" s="1068">
        <v>136</v>
      </c>
      <c r="AG55" s="1068">
        <v>150</v>
      </c>
    </row>
    <row r="56" spans="1:33" ht="30" customHeight="1" x14ac:dyDescent="0.2">
      <c r="A56" s="2479"/>
      <c r="B56" s="2479"/>
      <c r="C56" s="2474" t="s">
        <v>914</v>
      </c>
      <c r="D56" s="2474"/>
      <c r="E56" s="1044">
        <f t="shared" si="5"/>
        <v>683</v>
      </c>
      <c r="F56" s="1044">
        <f t="shared" si="6"/>
        <v>683</v>
      </c>
      <c r="G56" s="1044">
        <f t="shared" si="7"/>
        <v>683</v>
      </c>
      <c r="H56" s="1044">
        <f t="shared" si="8"/>
        <v>683</v>
      </c>
      <c r="I56" s="1044">
        <f t="shared" si="9"/>
        <v>683</v>
      </c>
      <c r="J56" s="1044">
        <f t="shared" si="10"/>
        <v>683</v>
      </c>
      <c r="K56" s="1044">
        <f t="shared" si="11"/>
        <v>683</v>
      </c>
      <c r="L56" s="1044">
        <f t="shared" si="12"/>
        <v>683</v>
      </c>
      <c r="M56" s="1044">
        <f t="shared" si="13"/>
        <v>683</v>
      </c>
      <c r="N56" s="1044">
        <f t="shared" si="14"/>
        <v>683</v>
      </c>
      <c r="O56" s="1044">
        <f t="shared" si="15"/>
        <v>683</v>
      </c>
      <c r="P56" s="1044">
        <f t="shared" si="16"/>
        <v>683</v>
      </c>
      <c r="Q56" s="1044">
        <f t="shared" si="17"/>
        <v>683</v>
      </c>
      <c r="R56" s="1044">
        <f t="shared" si="18"/>
        <v>683</v>
      </c>
      <c r="T56" s="1068">
        <v>683</v>
      </c>
      <c r="U56" s="1068">
        <v>683</v>
      </c>
      <c r="V56" s="1068">
        <v>683</v>
      </c>
      <c r="W56" s="1068">
        <v>683</v>
      </c>
      <c r="X56" s="1068">
        <v>683</v>
      </c>
      <c r="Y56" s="1068">
        <v>683</v>
      </c>
      <c r="Z56" s="1068">
        <v>683</v>
      </c>
      <c r="AA56" s="1068">
        <v>683</v>
      </c>
      <c r="AB56" s="1068">
        <v>683</v>
      </c>
      <c r="AC56" s="1068">
        <v>683</v>
      </c>
      <c r="AD56" s="1068">
        <v>683</v>
      </c>
      <c r="AE56" s="1068">
        <v>683</v>
      </c>
      <c r="AF56" s="1068">
        <v>683</v>
      </c>
      <c r="AG56" s="1068">
        <v>683</v>
      </c>
    </row>
    <row r="57" spans="1:33" ht="30" customHeight="1" x14ac:dyDescent="0.2">
      <c r="A57" s="2479"/>
      <c r="B57" s="2479"/>
      <c r="C57" s="2474" t="s">
        <v>915</v>
      </c>
      <c r="D57" s="2474"/>
      <c r="E57" s="1044">
        <f t="shared" si="5"/>
        <v>708</v>
      </c>
      <c r="F57" s="1044">
        <f t="shared" si="6"/>
        <v>708</v>
      </c>
      <c r="G57" s="1044">
        <f t="shared" si="7"/>
        <v>708</v>
      </c>
      <c r="H57" s="1044">
        <f t="shared" si="8"/>
        <v>708</v>
      </c>
      <c r="I57" s="1044">
        <f t="shared" si="9"/>
        <v>708</v>
      </c>
      <c r="J57" s="1044">
        <f t="shared" si="10"/>
        <v>708</v>
      </c>
      <c r="K57" s="1044">
        <f t="shared" si="11"/>
        <v>708</v>
      </c>
      <c r="L57" s="1044">
        <f t="shared" si="12"/>
        <v>708</v>
      </c>
      <c r="M57" s="1044">
        <f t="shared" si="13"/>
        <v>708</v>
      </c>
      <c r="N57" s="1044">
        <f t="shared" si="14"/>
        <v>708</v>
      </c>
      <c r="O57" s="1044">
        <f t="shared" si="15"/>
        <v>708</v>
      </c>
      <c r="P57" s="1044">
        <f t="shared" si="16"/>
        <v>708</v>
      </c>
      <c r="Q57" s="1044">
        <f t="shared" si="17"/>
        <v>708</v>
      </c>
      <c r="R57" s="1044">
        <f t="shared" si="18"/>
        <v>708</v>
      </c>
      <c r="T57" s="1068">
        <v>708</v>
      </c>
      <c r="U57" s="1068">
        <v>708</v>
      </c>
      <c r="V57" s="1068">
        <v>708</v>
      </c>
      <c r="W57" s="1068">
        <v>708</v>
      </c>
      <c r="X57" s="1068">
        <v>708</v>
      </c>
      <c r="Y57" s="1068">
        <v>708</v>
      </c>
      <c r="Z57" s="1068">
        <v>708</v>
      </c>
      <c r="AA57" s="1068">
        <v>708</v>
      </c>
      <c r="AB57" s="1068">
        <v>708</v>
      </c>
      <c r="AC57" s="1068">
        <v>708</v>
      </c>
      <c r="AD57" s="1068">
        <v>708</v>
      </c>
      <c r="AE57" s="1068">
        <v>708</v>
      </c>
      <c r="AF57" s="1068">
        <v>708</v>
      </c>
      <c r="AG57" s="1068">
        <v>708</v>
      </c>
    </row>
    <row r="58" spans="1:33" ht="30" customHeight="1" x14ac:dyDescent="0.2">
      <c r="A58" s="2479"/>
      <c r="B58" s="2479"/>
      <c r="C58" s="2474" t="s">
        <v>916</v>
      </c>
      <c r="D58" s="2474"/>
      <c r="E58" s="1044">
        <f t="shared" si="5"/>
        <v>218</v>
      </c>
      <c r="F58" s="1044">
        <f t="shared" si="6"/>
        <v>187</v>
      </c>
      <c r="G58" s="1044">
        <f t="shared" si="7"/>
        <v>167</v>
      </c>
      <c r="H58" s="1044">
        <f t="shared" si="8"/>
        <v>135</v>
      </c>
      <c r="I58" s="1044">
        <f t="shared" si="9"/>
        <v>159</v>
      </c>
      <c r="J58" s="1044">
        <f t="shared" si="10"/>
        <v>151</v>
      </c>
      <c r="K58" s="1044">
        <f t="shared" si="11"/>
        <v>141</v>
      </c>
      <c r="L58" s="1044">
        <f t="shared" si="12"/>
        <v>131</v>
      </c>
      <c r="M58" s="1044">
        <f t="shared" si="13"/>
        <v>112</v>
      </c>
      <c r="N58" s="1044">
        <f t="shared" si="14"/>
        <v>138</v>
      </c>
      <c r="O58" s="1044">
        <f t="shared" si="15"/>
        <v>132</v>
      </c>
      <c r="P58" s="1044">
        <f t="shared" si="16"/>
        <v>120</v>
      </c>
      <c r="Q58" s="1044">
        <f t="shared" si="17"/>
        <v>105</v>
      </c>
      <c r="R58" s="1044">
        <f t="shared" si="18"/>
        <v>116</v>
      </c>
      <c r="T58" s="1068">
        <v>218</v>
      </c>
      <c r="U58" s="1068">
        <v>187</v>
      </c>
      <c r="V58" s="1068">
        <v>167</v>
      </c>
      <c r="W58" s="1068">
        <v>135</v>
      </c>
      <c r="X58" s="1068">
        <v>159</v>
      </c>
      <c r="Y58" s="1068">
        <v>151</v>
      </c>
      <c r="Z58" s="1068">
        <v>141</v>
      </c>
      <c r="AA58" s="1068">
        <v>131</v>
      </c>
      <c r="AB58" s="1068">
        <v>112</v>
      </c>
      <c r="AC58" s="1068">
        <v>138</v>
      </c>
      <c r="AD58" s="1068">
        <v>132</v>
      </c>
      <c r="AE58" s="1068">
        <v>120</v>
      </c>
      <c r="AF58" s="1068">
        <v>105</v>
      </c>
      <c r="AG58" s="1068">
        <v>116</v>
      </c>
    </row>
    <row r="59" spans="1:33" ht="30" customHeight="1" x14ac:dyDescent="0.2">
      <c r="A59" s="2479"/>
      <c r="B59" s="2479"/>
      <c r="C59" s="2474" t="s">
        <v>917</v>
      </c>
      <c r="D59" s="2474"/>
      <c r="E59" s="1044">
        <f t="shared" si="5"/>
        <v>310</v>
      </c>
      <c r="F59" s="1044">
        <f t="shared" si="6"/>
        <v>266</v>
      </c>
      <c r="G59" s="1044">
        <f t="shared" si="7"/>
        <v>237</v>
      </c>
      <c r="H59" s="1044">
        <f t="shared" si="8"/>
        <v>190</v>
      </c>
      <c r="I59" s="1044">
        <f t="shared" si="9"/>
        <v>225</v>
      </c>
      <c r="J59" s="1044">
        <f t="shared" si="10"/>
        <v>213</v>
      </c>
      <c r="K59" s="1044">
        <f t="shared" si="11"/>
        <v>199</v>
      </c>
      <c r="L59" s="1044">
        <f t="shared" si="12"/>
        <v>184</v>
      </c>
      <c r="M59" s="1044">
        <f t="shared" si="13"/>
        <v>156</v>
      </c>
      <c r="N59" s="1044">
        <f t="shared" si="14"/>
        <v>194</v>
      </c>
      <c r="O59" s="1044">
        <f t="shared" si="15"/>
        <v>185</v>
      </c>
      <c r="P59" s="1044">
        <f t="shared" si="16"/>
        <v>169</v>
      </c>
      <c r="Q59" s="1044">
        <f t="shared" si="17"/>
        <v>147</v>
      </c>
      <c r="R59" s="1044">
        <f t="shared" si="18"/>
        <v>162</v>
      </c>
      <c r="T59" s="1068">
        <v>310</v>
      </c>
      <c r="U59" s="1068">
        <v>266</v>
      </c>
      <c r="V59" s="1068">
        <v>237</v>
      </c>
      <c r="W59" s="1068">
        <v>190</v>
      </c>
      <c r="X59" s="1068">
        <v>225</v>
      </c>
      <c r="Y59" s="1068">
        <v>213</v>
      </c>
      <c r="Z59" s="1068">
        <v>199</v>
      </c>
      <c r="AA59" s="1068">
        <v>184</v>
      </c>
      <c r="AB59" s="1068">
        <v>156</v>
      </c>
      <c r="AC59" s="1068">
        <v>194</v>
      </c>
      <c r="AD59" s="1068">
        <v>185</v>
      </c>
      <c r="AE59" s="1068">
        <v>169</v>
      </c>
      <c r="AF59" s="1068">
        <v>147</v>
      </c>
      <c r="AG59" s="1068">
        <v>162</v>
      </c>
    </row>
    <row r="60" spans="1:33" ht="30" customHeight="1" x14ac:dyDescent="0.2">
      <c r="A60" s="2479"/>
      <c r="B60" s="2479"/>
      <c r="C60" s="2474" t="s">
        <v>918</v>
      </c>
      <c r="D60" s="2474"/>
      <c r="E60" s="1044">
        <f t="shared" si="5"/>
        <v>218</v>
      </c>
      <c r="F60" s="1044">
        <f t="shared" si="6"/>
        <v>187</v>
      </c>
      <c r="G60" s="1044">
        <f t="shared" si="7"/>
        <v>167</v>
      </c>
      <c r="H60" s="1044">
        <f t="shared" si="8"/>
        <v>135</v>
      </c>
      <c r="I60" s="1044">
        <f t="shared" si="9"/>
        <v>159</v>
      </c>
      <c r="J60" s="1044">
        <f t="shared" si="10"/>
        <v>151</v>
      </c>
      <c r="K60" s="1044">
        <f t="shared" si="11"/>
        <v>141</v>
      </c>
      <c r="L60" s="1044">
        <f t="shared" si="12"/>
        <v>131</v>
      </c>
      <c r="M60" s="1044">
        <f t="shared" si="13"/>
        <v>112</v>
      </c>
      <c r="N60" s="1044">
        <f t="shared" si="14"/>
        <v>138</v>
      </c>
      <c r="O60" s="1044">
        <f t="shared" si="15"/>
        <v>132</v>
      </c>
      <c r="P60" s="1044">
        <f t="shared" si="16"/>
        <v>120</v>
      </c>
      <c r="Q60" s="1044">
        <f t="shared" si="17"/>
        <v>105</v>
      </c>
      <c r="R60" s="1044">
        <f t="shared" si="18"/>
        <v>116</v>
      </c>
      <c r="T60" s="1068">
        <v>218</v>
      </c>
      <c r="U60" s="1068">
        <v>187</v>
      </c>
      <c r="V60" s="1068">
        <v>167</v>
      </c>
      <c r="W60" s="1068">
        <v>135</v>
      </c>
      <c r="X60" s="1068">
        <v>159</v>
      </c>
      <c r="Y60" s="1068">
        <v>151</v>
      </c>
      <c r="Z60" s="1068">
        <v>141</v>
      </c>
      <c r="AA60" s="1068">
        <v>131</v>
      </c>
      <c r="AB60" s="1068">
        <v>112</v>
      </c>
      <c r="AC60" s="1068">
        <v>138</v>
      </c>
      <c r="AD60" s="1068">
        <v>132</v>
      </c>
      <c r="AE60" s="1068">
        <v>120</v>
      </c>
      <c r="AF60" s="1068">
        <v>105</v>
      </c>
      <c r="AG60" s="1068">
        <v>116</v>
      </c>
    </row>
    <row r="61" spans="1:33" ht="30" customHeight="1" x14ac:dyDescent="0.2">
      <c r="A61" s="2479"/>
      <c r="B61" s="2479"/>
      <c r="C61" s="2475" t="s">
        <v>919</v>
      </c>
      <c r="D61" s="2475"/>
      <c r="E61" s="1053">
        <f t="shared" si="5"/>
        <v>231</v>
      </c>
      <c r="F61" s="1053">
        <f t="shared" si="6"/>
        <v>199</v>
      </c>
      <c r="G61" s="1053">
        <f t="shared" si="7"/>
        <v>177</v>
      </c>
      <c r="H61" s="1053">
        <f t="shared" si="8"/>
        <v>143</v>
      </c>
      <c r="I61" s="1053">
        <f t="shared" si="9"/>
        <v>169</v>
      </c>
      <c r="J61" s="1053">
        <f t="shared" si="10"/>
        <v>160</v>
      </c>
      <c r="K61" s="1053">
        <f t="shared" si="11"/>
        <v>150</v>
      </c>
      <c r="L61" s="1053">
        <f t="shared" si="12"/>
        <v>139</v>
      </c>
      <c r="M61" s="1053">
        <f t="shared" si="13"/>
        <v>118</v>
      </c>
      <c r="N61" s="1053">
        <f t="shared" si="14"/>
        <v>146</v>
      </c>
      <c r="O61" s="1053">
        <f t="shared" si="15"/>
        <v>140</v>
      </c>
      <c r="P61" s="1053">
        <f t="shared" si="16"/>
        <v>127</v>
      </c>
      <c r="Q61" s="1053">
        <f t="shared" si="17"/>
        <v>111</v>
      </c>
      <c r="R61" s="1053">
        <f t="shared" si="18"/>
        <v>122</v>
      </c>
      <c r="T61" s="1068">
        <v>231</v>
      </c>
      <c r="U61" s="1068">
        <v>199</v>
      </c>
      <c r="V61" s="1068">
        <v>177</v>
      </c>
      <c r="W61" s="1068">
        <v>143</v>
      </c>
      <c r="X61" s="1068">
        <v>169</v>
      </c>
      <c r="Y61" s="1068">
        <v>160</v>
      </c>
      <c r="Z61" s="1068">
        <v>150</v>
      </c>
      <c r="AA61" s="1068">
        <v>139</v>
      </c>
      <c r="AB61" s="1068">
        <v>118</v>
      </c>
      <c r="AC61" s="1068">
        <v>146</v>
      </c>
      <c r="AD61" s="1068">
        <v>140</v>
      </c>
      <c r="AE61" s="1068">
        <v>127</v>
      </c>
      <c r="AF61" s="1068">
        <v>111</v>
      </c>
      <c r="AG61" s="1068">
        <v>122</v>
      </c>
    </row>
    <row r="62" spans="1:33" ht="50.1" customHeight="1" x14ac:dyDescent="0.2">
      <c r="A62" s="2479"/>
      <c r="B62" s="2479"/>
      <c r="C62" s="2061" t="s">
        <v>896</v>
      </c>
      <c r="D62" s="1054" t="s">
        <v>920</v>
      </c>
      <c r="E62" s="1042">
        <f t="shared" si="5"/>
        <v>340</v>
      </c>
      <c r="F62" s="1042">
        <f t="shared" si="6"/>
        <v>291</v>
      </c>
      <c r="G62" s="1042">
        <f t="shared" si="7"/>
        <v>259</v>
      </c>
      <c r="H62" s="1042">
        <f t="shared" si="8"/>
        <v>208</v>
      </c>
      <c r="I62" s="1042">
        <f t="shared" si="9"/>
        <v>246</v>
      </c>
      <c r="J62" s="1042">
        <f t="shared" si="10"/>
        <v>233</v>
      </c>
      <c r="K62" s="1042">
        <f t="shared" si="11"/>
        <v>217</v>
      </c>
      <c r="L62" s="1042">
        <f t="shared" si="12"/>
        <v>201</v>
      </c>
      <c r="M62" s="1042">
        <f t="shared" si="13"/>
        <v>171</v>
      </c>
      <c r="N62" s="1042">
        <f t="shared" si="14"/>
        <v>212</v>
      </c>
      <c r="O62" s="1042">
        <f t="shared" si="15"/>
        <v>203</v>
      </c>
      <c r="P62" s="1042">
        <f t="shared" si="16"/>
        <v>184</v>
      </c>
      <c r="Q62" s="1042">
        <f t="shared" si="17"/>
        <v>160</v>
      </c>
      <c r="R62" s="1042">
        <f t="shared" si="18"/>
        <v>184</v>
      </c>
      <c r="T62" s="1068">
        <v>340</v>
      </c>
      <c r="U62" s="1068">
        <v>291</v>
      </c>
      <c r="V62" s="1068">
        <v>259</v>
      </c>
      <c r="W62" s="1068">
        <v>208</v>
      </c>
      <c r="X62" s="1068">
        <v>246</v>
      </c>
      <c r="Y62" s="1068">
        <v>233</v>
      </c>
      <c r="Z62" s="1068">
        <v>217</v>
      </c>
      <c r="AA62" s="1068">
        <v>201</v>
      </c>
      <c r="AB62" s="1068">
        <v>171</v>
      </c>
      <c r="AC62" s="1068">
        <v>212</v>
      </c>
      <c r="AD62" s="1068">
        <v>203</v>
      </c>
      <c r="AE62" s="1068">
        <v>184</v>
      </c>
      <c r="AF62" s="1068">
        <v>160</v>
      </c>
      <c r="AG62" s="1068">
        <v>184</v>
      </c>
    </row>
    <row r="63" spans="1:33" ht="50.1" customHeight="1" x14ac:dyDescent="0.2">
      <c r="A63" s="2479"/>
      <c r="B63" s="2479"/>
      <c r="C63" s="2062"/>
      <c r="D63" s="1049" t="s">
        <v>921</v>
      </c>
      <c r="E63" s="1044">
        <f t="shared" si="5"/>
        <v>310</v>
      </c>
      <c r="F63" s="1044">
        <f t="shared" si="6"/>
        <v>266</v>
      </c>
      <c r="G63" s="1044">
        <f t="shared" si="7"/>
        <v>237</v>
      </c>
      <c r="H63" s="1044">
        <f t="shared" si="8"/>
        <v>190</v>
      </c>
      <c r="I63" s="1044">
        <f t="shared" si="9"/>
        <v>225</v>
      </c>
      <c r="J63" s="1044">
        <f t="shared" si="10"/>
        <v>213</v>
      </c>
      <c r="K63" s="1044">
        <f t="shared" si="11"/>
        <v>199</v>
      </c>
      <c r="L63" s="1044">
        <f t="shared" si="12"/>
        <v>184</v>
      </c>
      <c r="M63" s="1044">
        <f t="shared" si="13"/>
        <v>156</v>
      </c>
      <c r="N63" s="1044">
        <f t="shared" si="14"/>
        <v>194</v>
      </c>
      <c r="O63" s="1044">
        <f t="shared" si="15"/>
        <v>185</v>
      </c>
      <c r="P63" s="1044">
        <f t="shared" si="16"/>
        <v>169</v>
      </c>
      <c r="Q63" s="1044">
        <f t="shared" si="17"/>
        <v>147</v>
      </c>
      <c r="R63" s="1044">
        <f t="shared" si="18"/>
        <v>169</v>
      </c>
      <c r="T63" s="1068">
        <v>310</v>
      </c>
      <c r="U63" s="1068">
        <v>266</v>
      </c>
      <c r="V63" s="1068">
        <v>237</v>
      </c>
      <c r="W63" s="1068">
        <v>190</v>
      </c>
      <c r="X63" s="1068">
        <v>225</v>
      </c>
      <c r="Y63" s="1068">
        <v>213</v>
      </c>
      <c r="Z63" s="1068">
        <v>199</v>
      </c>
      <c r="AA63" s="1068">
        <v>184</v>
      </c>
      <c r="AB63" s="1068">
        <v>156</v>
      </c>
      <c r="AC63" s="1068">
        <v>194</v>
      </c>
      <c r="AD63" s="1068">
        <v>185</v>
      </c>
      <c r="AE63" s="1068">
        <v>169</v>
      </c>
      <c r="AF63" s="1068">
        <v>147</v>
      </c>
      <c r="AG63" s="1068">
        <v>169</v>
      </c>
    </row>
    <row r="64" spans="1:33" ht="50.1" customHeight="1" x14ac:dyDescent="0.2">
      <c r="A64" s="2479"/>
      <c r="B64" s="2479"/>
      <c r="C64" s="2062"/>
      <c r="D64" s="1049" t="s">
        <v>922</v>
      </c>
      <c r="E64" s="1044">
        <f t="shared" si="5"/>
        <v>480</v>
      </c>
      <c r="F64" s="1044">
        <f t="shared" si="6"/>
        <v>410</v>
      </c>
      <c r="G64" s="1044">
        <f t="shared" si="7"/>
        <v>364</v>
      </c>
      <c r="H64" s="1044">
        <f t="shared" si="8"/>
        <v>292</v>
      </c>
      <c r="I64" s="1044">
        <f t="shared" si="9"/>
        <v>346</v>
      </c>
      <c r="J64" s="1044">
        <f t="shared" si="10"/>
        <v>327</v>
      </c>
      <c r="K64" s="1044">
        <f t="shared" si="11"/>
        <v>305</v>
      </c>
      <c r="L64" s="1044">
        <f t="shared" si="12"/>
        <v>281</v>
      </c>
      <c r="M64" s="1044">
        <f t="shared" si="13"/>
        <v>238</v>
      </c>
      <c r="N64" s="1044">
        <f t="shared" si="14"/>
        <v>297</v>
      </c>
      <c r="O64" s="1044">
        <f t="shared" si="15"/>
        <v>284</v>
      </c>
      <c r="P64" s="1044">
        <f t="shared" si="16"/>
        <v>257</v>
      </c>
      <c r="Q64" s="1044">
        <f t="shared" si="17"/>
        <v>223</v>
      </c>
      <c r="R64" s="1044">
        <f t="shared" si="18"/>
        <v>257</v>
      </c>
      <c r="T64" s="1068">
        <v>480</v>
      </c>
      <c r="U64" s="1068">
        <v>410</v>
      </c>
      <c r="V64" s="1068">
        <v>364</v>
      </c>
      <c r="W64" s="1068">
        <v>292</v>
      </c>
      <c r="X64" s="1068">
        <v>346</v>
      </c>
      <c r="Y64" s="1068">
        <v>327</v>
      </c>
      <c r="Z64" s="1068">
        <v>305</v>
      </c>
      <c r="AA64" s="1068">
        <v>281</v>
      </c>
      <c r="AB64" s="1068">
        <v>238</v>
      </c>
      <c r="AC64" s="1068">
        <v>297</v>
      </c>
      <c r="AD64" s="1068">
        <v>284</v>
      </c>
      <c r="AE64" s="1068">
        <v>257</v>
      </c>
      <c r="AF64" s="1068">
        <v>223</v>
      </c>
      <c r="AG64" s="1068">
        <v>257</v>
      </c>
    </row>
    <row r="65" spans="1:33" ht="50.1" customHeight="1" x14ac:dyDescent="0.2">
      <c r="A65" s="2479"/>
      <c r="B65" s="2479"/>
      <c r="C65" s="2062"/>
      <c r="D65" s="1050" t="s">
        <v>923</v>
      </c>
      <c r="E65" s="1046">
        <f t="shared" si="5"/>
        <v>310</v>
      </c>
      <c r="F65" s="1046">
        <f t="shared" si="6"/>
        <v>266</v>
      </c>
      <c r="G65" s="1046">
        <f t="shared" si="7"/>
        <v>237</v>
      </c>
      <c r="H65" s="1046">
        <f t="shared" si="8"/>
        <v>190</v>
      </c>
      <c r="I65" s="1046">
        <f t="shared" si="9"/>
        <v>225</v>
      </c>
      <c r="J65" s="1046">
        <f t="shared" si="10"/>
        <v>213</v>
      </c>
      <c r="K65" s="1046">
        <f t="shared" si="11"/>
        <v>199</v>
      </c>
      <c r="L65" s="1046">
        <f t="shared" si="12"/>
        <v>184</v>
      </c>
      <c r="M65" s="1046">
        <f t="shared" si="13"/>
        <v>156</v>
      </c>
      <c r="N65" s="1046">
        <f t="shared" si="14"/>
        <v>194</v>
      </c>
      <c r="O65" s="1046">
        <f t="shared" si="15"/>
        <v>185</v>
      </c>
      <c r="P65" s="1046">
        <f t="shared" si="16"/>
        <v>169</v>
      </c>
      <c r="Q65" s="1046">
        <f t="shared" si="17"/>
        <v>147</v>
      </c>
      <c r="R65" s="1046">
        <f t="shared" si="18"/>
        <v>169</v>
      </c>
      <c r="T65" s="1068">
        <v>310</v>
      </c>
      <c r="U65" s="1068">
        <v>266</v>
      </c>
      <c r="V65" s="1068">
        <v>237</v>
      </c>
      <c r="W65" s="1068">
        <v>190</v>
      </c>
      <c r="X65" s="1068">
        <v>225</v>
      </c>
      <c r="Y65" s="1068">
        <v>213</v>
      </c>
      <c r="Z65" s="1068">
        <v>199</v>
      </c>
      <c r="AA65" s="1068">
        <v>184</v>
      </c>
      <c r="AB65" s="1068">
        <v>156</v>
      </c>
      <c r="AC65" s="1068">
        <v>194</v>
      </c>
      <c r="AD65" s="1068">
        <v>185</v>
      </c>
      <c r="AE65" s="1068">
        <v>169</v>
      </c>
      <c r="AF65" s="1068">
        <v>147</v>
      </c>
      <c r="AG65" s="1068">
        <v>169</v>
      </c>
    </row>
    <row r="66" spans="1:33" ht="30" customHeight="1" x14ac:dyDescent="0.2">
      <c r="A66" s="2479"/>
      <c r="B66" s="2479"/>
      <c r="C66" s="2062"/>
      <c r="D66" s="1055" t="s">
        <v>892</v>
      </c>
      <c r="E66" s="1056">
        <f t="shared" si="5"/>
        <v>421</v>
      </c>
      <c r="F66" s="1056">
        <f t="shared" si="6"/>
        <v>360</v>
      </c>
      <c r="G66" s="1056">
        <f t="shared" si="7"/>
        <v>320</v>
      </c>
      <c r="H66" s="1056">
        <f t="shared" si="8"/>
        <v>257</v>
      </c>
      <c r="I66" s="1056">
        <f t="shared" si="9"/>
        <v>305</v>
      </c>
      <c r="J66" s="1056">
        <f t="shared" si="10"/>
        <v>288</v>
      </c>
      <c r="K66" s="1056">
        <f t="shared" si="11"/>
        <v>268</v>
      </c>
      <c r="L66" s="1056">
        <f t="shared" si="12"/>
        <v>248</v>
      </c>
      <c r="M66" s="1056">
        <f t="shared" si="13"/>
        <v>210</v>
      </c>
      <c r="N66" s="1056">
        <f t="shared" si="14"/>
        <v>262</v>
      </c>
      <c r="O66" s="1056">
        <f t="shared" si="15"/>
        <v>250</v>
      </c>
      <c r="P66" s="1056">
        <f t="shared" si="16"/>
        <v>227</v>
      </c>
      <c r="Q66" s="1056">
        <f t="shared" si="17"/>
        <v>197</v>
      </c>
      <c r="R66" s="1056">
        <f t="shared" si="18"/>
        <v>227</v>
      </c>
      <c r="T66" s="1068">
        <v>421</v>
      </c>
      <c r="U66" s="1068">
        <v>360</v>
      </c>
      <c r="V66" s="1068">
        <v>320</v>
      </c>
      <c r="W66" s="1068">
        <v>257</v>
      </c>
      <c r="X66" s="1068">
        <v>305</v>
      </c>
      <c r="Y66" s="1068">
        <v>288</v>
      </c>
      <c r="Z66" s="1068">
        <v>268</v>
      </c>
      <c r="AA66" s="1068">
        <v>248</v>
      </c>
      <c r="AB66" s="1068">
        <v>210</v>
      </c>
      <c r="AC66" s="1068">
        <v>262</v>
      </c>
      <c r="AD66" s="1068">
        <v>250</v>
      </c>
      <c r="AE66" s="1068">
        <v>227</v>
      </c>
      <c r="AF66" s="1068">
        <v>197</v>
      </c>
      <c r="AG66" s="1068">
        <v>227</v>
      </c>
    </row>
    <row r="67" spans="1:33" ht="30" customHeight="1" x14ac:dyDescent="0.2">
      <c r="A67" s="2479"/>
      <c r="B67" s="2479"/>
      <c r="C67" s="2062"/>
      <c r="D67" s="1049" t="s">
        <v>924</v>
      </c>
      <c r="E67" s="1044">
        <f t="shared" si="5"/>
        <v>185</v>
      </c>
      <c r="F67" s="1044">
        <f t="shared" si="6"/>
        <v>160</v>
      </c>
      <c r="G67" s="1044">
        <f t="shared" si="7"/>
        <v>143</v>
      </c>
      <c r="H67" s="1044">
        <f t="shared" si="8"/>
        <v>116</v>
      </c>
      <c r="I67" s="1044">
        <f t="shared" si="9"/>
        <v>136</v>
      </c>
      <c r="J67" s="1044">
        <f t="shared" si="10"/>
        <v>129</v>
      </c>
      <c r="K67" s="1044">
        <f t="shared" si="11"/>
        <v>121</v>
      </c>
      <c r="L67" s="1044">
        <f t="shared" si="12"/>
        <v>112</v>
      </c>
      <c r="M67" s="1044">
        <f t="shared" si="13"/>
        <v>96</v>
      </c>
      <c r="N67" s="1044">
        <f t="shared" si="14"/>
        <v>118</v>
      </c>
      <c r="O67" s="1044">
        <f t="shared" si="15"/>
        <v>113</v>
      </c>
      <c r="P67" s="1044">
        <f t="shared" si="16"/>
        <v>103</v>
      </c>
      <c r="Q67" s="1044">
        <f t="shared" si="17"/>
        <v>91</v>
      </c>
      <c r="R67" s="1044">
        <f t="shared" si="18"/>
        <v>103</v>
      </c>
      <c r="T67" s="1068">
        <v>185</v>
      </c>
      <c r="U67" s="1068">
        <v>160</v>
      </c>
      <c r="V67" s="1068">
        <v>143</v>
      </c>
      <c r="W67" s="1068">
        <v>116</v>
      </c>
      <c r="X67" s="1068">
        <v>136</v>
      </c>
      <c r="Y67" s="1068">
        <v>129</v>
      </c>
      <c r="Z67" s="1068">
        <v>121</v>
      </c>
      <c r="AA67" s="1068">
        <v>112</v>
      </c>
      <c r="AB67" s="1068">
        <v>96</v>
      </c>
      <c r="AC67" s="1068">
        <v>118</v>
      </c>
      <c r="AD67" s="1068">
        <v>113</v>
      </c>
      <c r="AE67" s="1068">
        <v>103</v>
      </c>
      <c r="AF67" s="1068">
        <v>91</v>
      </c>
      <c r="AG67" s="1068">
        <v>103</v>
      </c>
    </row>
    <row r="68" spans="1:33" ht="30" customHeight="1" x14ac:dyDescent="0.2">
      <c r="A68" s="2479"/>
      <c r="B68" s="2479"/>
      <c r="C68" s="2063"/>
      <c r="D68" s="1050" t="s">
        <v>925</v>
      </c>
      <c r="E68" s="1046">
        <f t="shared" si="5"/>
        <v>185</v>
      </c>
      <c r="F68" s="1046">
        <f t="shared" si="6"/>
        <v>160</v>
      </c>
      <c r="G68" s="1046">
        <f t="shared" si="7"/>
        <v>143</v>
      </c>
      <c r="H68" s="1046">
        <f t="shared" si="8"/>
        <v>116</v>
      </c>
      <c r="I68" s="1046">
        <f t="shared" si="9"/>
        <v>136</v>
      </c>
      <c r="J68" s="1046">
        <f t="shared" si="10"/>
        <v>129</v>
      </c>
      <c r="K68" s="1046">
        <f t="shared" si="11"/>
        <v>121</v>
      </c>
      <c r="L68" s="1046">
        <f t="shared" si="12"/>
        <v>112</v>
      </c>
      <c r="M68" s="1046">
        <f t="shared" si="13"/>
        <v>96</v>
      </c>
      <c r="N68" s="1046">
        <f t="shared" si="14"/>
        <v>118</v>
      </c>
      <c r="O68" s="1046">
        <f t="shared" si="15"/>
        <v>113</v>
      </c>
      <c r="P68" s="1046">
        <f t="shared" si="16"/>
        <v>103</v>
      </c>
      <c r="Q68" s="1046">
        <f t="shared" si="17"/>
        <v>91</v>
      </c>
      <c r="R68" s="1046">
        <f t="shared" si="18"/>
        <v>103</v>
      </c>
      <c r="T68" s="1068">
        <v>185</v>
      </c>
      <c r="U68" s="1068">
        <v>160</v>
      </c>
      <c r="V68" s="1068">
        <v>143</v>
      </c>
      <c r="W68" s="1068">
        <v>116</v>
      </c>
      <c r="X68" s="1068">
        <v>136</v>
      </c>
      <c r="Y68" s="1068">
        <v>129</v>
      </c>
      <c r="Z68" s="1068">
        <v>121</v>
      </c>
      <c r="AA68" s="1068">
        <v>112</v>
      </c>
      <c r="AB68" s="1068">
        <v>96</v>
      </c>
      <c r="AC68" s="1068">
        <v>118</v>
      </c>
      <c r="AD68" s="1068">
        <v>113</v>
      </c>
      <c r="AE68" s="1068">
        <v>103</v>
      </c>
      <c r="AF68" s="1068">
        <v>91</v>
      </c>
      <c r="AG68" s="1068">
        <v>103</v>
      </c>
    </row>
    <row r="69" spans="1:33" ht="15" customHeight="1" x14ac:dyDescent="0.3">
      <c r="A69" s="252"/>
      <c r="B69" s="16"/>
      <c r="C69" s="16"/>
      <c r="D69" s="16"/>
      <c r="E69" s="1040"/>
      <c r="F69" s="1040"/>
      <c r="G69" s="1040"/>
      <c r="H69" s="1040"/>
      <c r="I69" s="1040"/>
      <c r="J69" s="1040"/>
      <c r="K69" s="1040"/>
      <c r="L69" s="1040"/>
      <c r="M69" s="1040"/>
      <c r="N69" s="1040"/>
      <c r="O69" s="1040"/>
      <c r="P69" s="1040"/>
      <c r="Q69" s="1040"/>
      <c r="R69" s="1040"/>
      <c r="T69" s="1068"/>
      <c r="U69" s="1068"/>
      <c r="V69" s="1068"/>
      <c r="W69" s="1068"/>
      <c r="X69" s="1068"/>
      <c r="Y69" s="1068"/>
      <c r="Z69" s="1068"/>
      <c r="AA69" s="1068"/>
      <c r="AB69" s="1068"/>
      <c r="AC69" s="1068"/>
      <c r="AD69" s="1068"/>
      <c r="AE69" s="1068"/>
      <c r="AF69" s="1068"/>
      <c r="AG69" s="1068"/>
    </row>
    <row r="70" spans="1:33" ht="30" customHeight="1" x14ac:dyDescent="0.2">
      <c r="A70" s="2477" t="s">
        <v>926</v>
      </c>
      <c r="B70" s="2478"/>
      <c r="C70" s="2478"/>
      <c r="D70" s="2478"/>
      <c r="E70" s="1051"/>
      <c r="F70" s="1051"/>
      <c r="G70" s="1051"/>
      <c r="H70" s="1051"/>
      <c r="I70" s="1051"/>
      <c r="J70" s="1051"/>
      <c r="K70" s="1051"/>
      <c r="L70" s="1051"/>
      <c r="M70" s="1051"/>
      <c r="N70" s="1051"/>
      <c r="O70" s="1051"/>
      <c r="P70" s="1051"/>
      <c r="Q70" s="1051"/>
      <c r="R70" s="1052"/>
      <c r="T70" s="1068"/>
      <c r="U70" s="1068"/>
      <c r="V70" s="1068"/>
      <c r="W70" s="1068"/>
      <c r="X70" s="1068"/>
      <c r="Y70" s="1068"/>
      <c r="Z70" s="1068"/>
      <c r="AA70" s="1068"/>
      <c r="AB70" s="1068"/>
      <c r="AC70" s="1068"/>
      <c r="AD70" s="1068"/>
      <c r="AE70" s="1068"/>
      <c r="AF70" s="1068"/>
      <c r="AG70" s="1068"/>
    </row>
    <row r="71" spans="1:33" ht="30" customHeight="1" x14ac:dyDescent="0.2">
      <c r="A71" s="2479"/>
      <c r="B71" s="2479"/>
      <c r="C71" s="2468" t="s">
        <v>891</v>
      </c>
      <c r="D71" s="2468"/>
      <c r="E71" s="1042">
        <f t="shared" ref="E71:E79" si="19">ROUND(T71*BelarusV_Modpe*(1-$B$82),2)</f>
        <v>557</v>
      </c>
      <c r="F71" s="1042">
        <f t="shared" ref="F71:F79" si="20">ROUND(U71*BelarusV_Modpe*(1-$B$82),2)</f>
        <v>476</v>
      </c>
      <c r="G71" s="1042">
        <f t="shared" ref="G71:G79" si="21">ROUND(V71*BelarusV_Modpe*(1-$B$82),2)</f>
        <v>422</v>
      </c>
      <c r="H71" s="1042">
        <f t="shared" ref="H71:H79" si="22">ROUND(W71*BelarusV_Modpe*(1-$B$82),2)</f>
        <v>338</v>
      </c>
      <c r="I71" s="1042">
        <f t="shared" ref="I71:I79" si="23">ROUND(X71*BelarusV_Modpe*(1-$B$82),2)</f>
        <v>402</v>
      </c>
      <c r="J71" s="1042">
        <f t="shared" ref="J71:J79" si="24">ROUND(Y71*BelarusV_Modpe*(1-$B$82),2)</f>
        <v>379</v>
      </c>
      <c r="K71" s="1042">
        <f t="shared" ref="K71:K79" si="25">ROUND(Z71*BelarusV_Modpe*(1-$B$82),2)</f>
        <v>353</v>
      </c>
      <c r="L71" s="1042">
        <f t="shared" ref="L71:L79" si="26">ROUND(AA71*BelarusV_Modpe*(1-$B$82),2)</f>
        <v>326</v>
      </c>
      <c r="M71" s="1042">
        <f t="shared" ref="M71:M79" si="27">ROUND(AB71*BelarusV_Modpe*(1-$B$82),2)</f>
        <v>275</v>
      </c>
      <c r="N71" s="1042">
        <f t="shared" ref="N71:N79" si="28">ROUND(AC71*BelarusV_Modpe*(1-$B$82),2)</f>
        <v>345</v>
      </c>
      <c r="O71" s="1042">
        <f t="shared" ref="O71:O79" si="29">ROUND(AD71*BelarusV_Modpe*(1-$B$82),2)</f>
        <v>329</v>
      </c>
      <c r="P71" s="1042">
        <f t="shared" ref="P71:P79" si="30">ROUND(AE71*BelarusV_Modpe*(1-$B$82),2)</f>
        <v>298</v>
      </c>
      <c r="Q71" s="1042">
        <f t="shared" ref="Q71:Q79" si="31">ROUND(AF71*BelarusV_Modpe*(1-$B$82),2)</f>
        <v>257</v>
      </c>
      <c r="R71" s="1042">
        <f t="shared" ref="R71:R79" si="32">ROUND(AG71*BelarusV_Modpe*(1-$B$82),2)</f>
        <v>298</v>
      </c>
      <c r="T71" s="1068">
        <v>557</v>
      </c>
      <c r="U71" s="1068">
        <v>476</v>
      </c>
      <c r="V71" s="1068">
        <v>422</v>
      </c>
      <c r="W71" s="1068">
        <v>338</v>
      </c>
      <c r="X71" s="1068">
        <v>402</v>
      </c>
      <c r="Y71" s="1068">
        <v>379</v>
      </c>
      <c r="Z71" s="1068">
        <v>353</v>
      </c>
      <c r="AA71" s="1068">
        <v>326</v>
      </c>
      <c r="AB71" s="1068">
        <v>275</v>
      </c>
      <c r="AC71" s="1068">
        <v>345</v>
      </c>
      <c r="AD71" s="1068">
        <v>329</v>
      </c>
      <c r="AE71" s="1068">
        <v>298</v>
      </c>
      <c r="AF71" s="1068">
        <v>257</v>
      </c>
      <c r="AG71" s="1068">
        <v>298</v>
      </c>
    </row>
    <row r="72" spans="1:33" ht="30" customHeight="1" x14ac:dyDescent="0.2">
      <c r="A72" s="2479"/>
      <c r="B72" s="2479"/>
      <c r="C72" s="2474" t="s">
        <v>927</v>
      </c>
      <c r="D72" s="2474"/>
      <c r="E72" s="1044">
        <f t="shared" si="19"/>
        <v>480</v>
      </c>
      <c r="F72" s="1044">
        <f t="shared" si="20"/>
        <v>410</v>
      </c>
      <c r="G72" s="1044">
        <f t="shared" si="21"/>
        <v>364</v>
      </c>
      <c r="H72" s="1044">
        <f t="shared" si="22"/>
        <v>292</v>
      </c>
      <c r="I72" s="1044">
        <f t="shared" si="23"/>
        <v>346</v>
      </c>
      <c r="J72" s="1044">
        <f t="shared" si="24"/>
        <v>327</v>
      </c>
      <c r="K72" s="1044">
        <f t="shared" si="25"/>
        <v>305</v>
      </c>
      <c r="L72" s="1044">
        <f t="shared" si="26"/>
        <v>281</v>
      </c>
      <c r="M72" s="1044">
        <f t="shared" si="27"/>
        <v>238</v>
      </c>
      <c r="N72" s="1044">
        <f t="shared" si="28"/>
        <v>297</v>
      </c>
      <c r="O72" s="1044">
        <f t="shared" si="29"/>
        <v>284</v>
      </c>
      <c r="P72" s="1044">
        <f t="shared" si="30"/>
        <v>257</v>
      </c>
      <c r="Q72" s="1044">
        <f t="shared" si="31"/>
        <v>223</v>
      </c>
      <c r="R72" s="1044">
        <f t="shared" si="32"/>
        <v>257</v>
      </c>
      <c r="T72" s="1068">
        <v>480</v>
      </c>
      <c r="U72" s="1068">
        <v>410</v>
      </c>
      <c r="V72" s="1068">
        <v>364</v>
      </c>
      <c r="W72" s="1068">
        <v>292</v>
      </c>
      <c r="X72" s="1068">
        <v>346</v>
      </c>
      <c r="Y72" s="1068">
        <v>327</v>
      </c>
      <c r="Z72" s="1068">
        <v>305</v>
      </c>
      <c r="AA72" s="1068">
        <v>281</v>
      </c>
      <c r="AB72" s="1068">
        <v>238</v>
      </c>
      <c r="AC72" s="1068">
        <v>297</v>
      </c>
      <c r="AD72" s="1068">
        <v>284</v>
      </c>
      <c r="AE72" s="1068">
        <v>257</v>
      </c>
      <c r="AF72" s="1068">
        <v>223</v>
      </c>
      <c r="AG72" s="1068">
        <v>257</v>
      </c>
    </row>
    <row r="73" spans="1:33" ht="30" customHeight="1" x14ac:dyDescent="0.2">
      <c r="A73" s="2479"/>
      <c r="B73" s="2479"/>
      <c r="C73" s="2474" t="s">
        <v>928</v>
      </c>
      <c r="D73" s="2474"/>
      <c r="E73" s="1044">
        <f t="shared" si="19"/>
        <v>666</v>
      </c>
      <c r="F73" s="1044">
        <f t="shared" si="20"/>
        <v>568</v>
      </c>
      <c r="G73" s="1044">
        <f t="shared" si="21"/>
        <v>504</v>
      </c>
      <c r="H73" s="1044">
        <f t="shared" si="22"/>
        <v>403</v>
      </c>
      <c r="I73" s="1044">
        <f t="shared" si="23"/>
        <v>479</v>
      </c>
      <c r="J73" s="1044">
        <f t="shared" si="24"/>
        <v>452</v>
      </c>
      <c r="K73" s="1044">
        <f t="shared" si="25"/>
        <v>421</v>
      </c>
      <c r="L73" s="1044">
        <f t="shared" si="26"/>
        <v>388</v>
      </c>
      <c r="M73" s="1044">
        <f t="shared" si="27"/>
        <v>328</v>
      </c>
      <c r="N73" s="1044">
        <f t="shared" si="28"/>
        <v>411</v>
      </c>
      <c r="O73" s="1044">
        <f t="shared" si="29"/>
        <v>392</v>
      </c>
      <c r="P73" s="1044">
        <f t="shared" si="30"/>
        <v>355</v>
      </c>
      <c r="Q73" s="1044">
        <f t="shared" si="31"/>
        <v>306</v>
      </c>
      <c r="R73" s="1044">
        <f t="shared" si="32"/>
        <v>355</v>
      </c>
      <c r="T73" s="1068">
        <v>666</v>
      </c>
      <c r="U73" s="1068">
        <v>568</v>
      </c>
      <c r="V73" s="1068">
        <v>504</v>
      </c>
      <c r="W73" s="1068">
        <v>403</v>
      </c>
      <c r="X73" s="1068">
        <v>479</v>
      </c>
      <c r="Y73" s="1068">
        <v>452</v>
      </c>
      <c r="Z73" s="1068">
        <v>421</v>
      </c>
      <c r="AA73" s="1068">
        <v>388</v>
      </c>
      <c r="AB73" s="1068">
        <v>328</v>
      </c>
      <c r="AC73" s="1068">
        <v>411</v>
      </c>
      <c r="AD73" s="1068">
        <v>392</v>
      </c>
      <c r="AE73" s="1068">
        <v>355</v>
      </c>
      <c r="AF73" s="1068">
        <v>306</v>
      </c>
      <c r="AG73" s="1068">
        <v>355</v>
      </c>
    </row>
    <row r="74" spans="1:33" ht="30" customHeight="1" x14ac:dyDescent="0.2">
      <c r="A74" s="2479"/>
      <c r="B74" s="2479"/>
      <c r="C74" s="2474" t="s">
        <v>929</v>
      </c>
      <c r="D74" s="2474"/>
      <c r="E74" s="1044">
        <f t="shared" si="19"/>
        <v>421</v>
      </c>
      <c r="F74" s="1044">
        <f t="shared" si="20"/>
        <v>360</v>
      </c>
      <c r="G74" s="1044">
        <f t="shared" si="21"/>
        <v>320</v>
      </c>
      <c r="H74" s="1044">
        <f t="shared" si="22"/>
        <v>257</v>
      </c>
      <c r="I74" s="1044">
        <f t="shared" si="23"/>
        <v>305</v>
      </c>
      <c r="J74" s="1044">
        <f t="shared" si="24"/>
        <v>288</v>
      </c>
      <c r="K74" s="1044">
        <f t="shared" si="25"/>
        <v>268</v>
      </c>
      <c r="L74" s="1044">
        <f t="shared" si="26"/>
        <v>248</v>
      </c>
      <c r="M74" s="1044">
        <f t="shared" si="27"/>
        <v>210</v>
      </c>
      <c r="N74" s="1044">
        <f t="shared" si="28"/>
        <v>262</v>
      </c>
      <c r="O74" s="1044">
        <f t="shared" si="29"/>
        <v>250</v>
      </c>
      <c r="P74" s="1044">
        <f t="shared" si="30"/>
        <v>227</v>
      </c>
      <c r="Q74" s="1044">
        <f t="shared" si="31"/>
        <v>197</v>
      </c>
      <c r="R74" s="1044">
        <f t="shared" si="32"/>
        <v>227</v>
      </c>
      <c r="T74" s="1068">
        <v>421</v>
      </c>
      <c r="U74" s="1068">
        <v>360</v>
      </c>
      <c r="V74" s="1068">
        <v>320</v>
      </c>
      <c r="W74" s="1068">
        <v>257</v>
      </c>
      <c r="X74" s="1068">
        <v>305</v>
      </c>
      <c r="Y74" s="1068">
        <v>288</v>
      </c>
      <c r="Z74" s="1068">
        <v>268</v>
      </c>
      <c r="AA74" s="1068">
        <v>248</v>
      </c>
      <c r="AB74" s="1068">
        <v>210</v>
      </c>
      <c r="AC74" s="1068">
        <v>262</v>
      </c>
      <c r="AD74" s="1068">
        <v>250</v>
      </c>
      <c r="AE74" s="1068">
        <v>227</v>
      </c>
      <c r="AF74" s="1068">
        <v>197</v>
      </c>
      <c r="AG74" s="1068">
        <v>227</v>
      </c>
    </row>
    <row r="75" spans="1:33" ht="30" customHeight="1" x14ac:dyDescent="0.2">
      <c r="A75" s="2479"/>
      <c r="B75" s="2479"/>
      <c r="C75" s="2474" t="s">
        <v>930</v>
      </c>
      <c r="D75" s="2474"/>
      <c r="E75" s="1044">
        <f t="shared" si="19"/>
        <v>310</v>
      </c>
      <c r="F75" s="1044">
        <f t="shared" si="20"/>
        <v>266</v>
      </c>
      <c r="G75" s="1044">
        <f t="shared" si="21"/>
        <v>237</v>
      </c>
      <c r="H75" s="1044">
        <f t="shared" si="22"/>
        <v>190</v>
      </c>
      <c r="I75" s="1044">
        <f t="shared" si="23"/>
        <v>225</v>
      </c>
      <c r="J75" s="1044">
        <f t="shared" si="24"/>
        <v>213</v>
      </c>
      <c r="K75" s="1044">
        <f t="shared" si="25"/>
        <v>199</v>
      </c>
      <c r="L75" s="1044">
        <f t="shared" si="26"/>
        <v>184</v>
      </c>
      <c r="M75" s="1044">
        <f t="shared" si="27"/>
        <v>156</v>
      </c>
      <c r="N75" s="1044">
        <f t="shared" si="28"/>
        <v>194</v>
      </c>
      <c r="O75" s="1044">
        <f t="shared" si="29"/>
        <v>185</v>
      </c>
      <c r="P75" s="1044">
        <f t="shared" si="30"/>
        <v>169</v>
      </c>
      <c r="Q75" s="1044">
        <f t="shared" si="31"/>
        <v>147</v>
      </c>
      <c r="R75" s="1044">
        <f t="shared" si="32"/>
        <v>169</v>
      </c>
      <c r="T75" s="1068">
        <v>310</v>
      </c>
      <c r="U75" s="1068">
        <v>266</v>
      </c>
      <c r="V75" s="1068">
        <v>237</v>
      </c>
      <c r="W75" s="1068">
        <v>190</v>
      </c>
      <c r="X75" s="1068">
        <v>225</v>
      </c>
      <c r="Y75" s="1068">
        <v>213</v>
      </c>
      <c r="Z75" s="1068">
        <v>199</v>
      </c>
      <c r="AA75" s="1068">
        <v>184</v>
      </c>
      <c r="AB75" s="1068">
        <v>156</v>
      </c>
      <c r="AC75" s="1068">
        <v>194</v>
      </c>
      <c r="AD75" s="1068">
        <v>185</v>
      </c>
      <c r="AE75" s="1068">
        <v>169</v>
      </c>
      <c r="AF75" s="1068">
        <v>147</v>
      </c>
      <c r="AG75" s="1068">
        <v>169</v>
      </c>
    </row>
    <row r="76" spans="1:33" ht="21" x14ac:dyDescent="0.2">
      <c r="A76" s="2479"/>
      <c r="B76" s="2479"/>
      <c r="C76" s="2474" t="s">
        <v>931</v>
      </c>
      <c r="D76" s="2474"/>
      <c r="E76" s="1044">
        <f t="shared" si="19"/>
        <v>286</v>
      </c>
      <c r="F76" s="1044">
        <f t="shared" si="20"/>
        <v>245</v>
      </c>
      <c r="G76" s="1044">
        <f t="shared" si="21"/>
        <v>218</v>
      </c>
      <c r="H76" s="1044">
        <f t="shared" si="22"/>
        <v>176</v>
      </c>
      <c r="I76" s="1044">
        <f t="shared" si="23"/>
        <v>208</v>
      </c>
      <c r="J76" s="1044">
        <f t="shared" si="24"/>
        <v>196</v>
      </c>
      <c r="K76" s="1044">
        <f t="shared" si="25"/>
        <v>183</v>
      </c>
      <c r="L76" s="1044">
        <f t="shared" si="26"/>
        <v>170</v>
      </c>
      <c r="M76" s="1044">
        <f t="shared" si="27"/>
        <v>144</v>
      </c>
      <c r="N76" s="1044">
        <f t="shared" si="28"/>
        <v>179</v>
      </c>
      <c r="O76" s="1044">
        <f t="shared" si="29"/>
        <v>171</v>
      </c>
      <c r="P76" s="1044">
        <f t="shared" si="30"/>
        <v>156</v>
      </c>
      <c r="Q76" s="1044">
        <f t="shared" si="31"/>
        <v>136</v>
      </c>
      <c r="R76" s="1044">
        <f t="shared" si="32"/>
        <v>156</v>
      </c>
      <c r="T76" s="1068">
        <v>286</v>
      </c>
      <c r="U76" s="1068">
        <v>245</v>
      </c>
      <c r="V76" s="1068">
        <v>218</v>
      </c>
      <c r="W76" s="1068">
        <v>176</v>
      </c>
      <c r="X76" s="1068">
        <v>208</v>
      </c>
      <c r="Y76" s="1068">
        <v>196</v>
      </c>
      <c r="Z76" s="1068">
        <v>183</v>
      </c>
      <c r="AA76" s="1068">
        <v>170</v>
      </c>
      <c r="AB76" s="1068">
        <v>144</v>
      </c>
      <c r="AC76" s="1068">
        <v>179</v>
      </c>
      <c r="AD76" s="1068">
        <v>171</v>
      </c>
      <c r="AE76" s="1068">
        <v>156</v>
      </c>
      <c r="AF76" s="1068">
        <v>136</v>
      </c>
      <c r="AG76" s="1068">
        <v>156</v>
      </c>
    </row>
    <row r="77" spans="1:33" ht="21" x14ac:dyDescent="0.2">
      <c r="A77" s="2479"/>
      <c r="B77" s="2479"/>
      <c r="C77" s="2475" t="s">
        <v>932</v>
      </c>
      <c r="D77" s="2475"/>
      <c r="E77" s="1053">
        <f t="shared" si="19"/>
        <v>666</v>
      </c>
      <c r="F77" s="1053">
        <f t="shared" si="20"/>
        <v>568</v>
      </c>
      <c r="G77" s="1053">
        <f t="shared" si="21"/>
        <v>504</v>
      </c>
      <c r="H77" s="1053">
        <f t="shared" si="22"/>
        <v>403</v>
      </c>
      <c r="I77" s="1053">
        <f t="shared" si="23"/>
        <v>479</v>
      </c>
      <c r="J77" s="1053">
        <f t="shared" si="24"/>
        <v>452</v>
      </c>
      <c r="K77" s="1053">
        <f t="shared" si="25"/>
        <v>421</v>
      </c>
      <c r="L77" s="1053">
        <f t="shared" si="26"/>
        <v>388</v>
      </c>
      <c r="M77" s="1053">
        <f t="shared" si="27"/>
        <v>328</v>
      </c>
      <c r="N77" s="1053">
        <f t="shared" si="28"/>
        <v>411</v>
      </c>
      <c r="O77" s="1053">
        <f t="shared" si="29"/>
        <v>392</v>
      </c>
      <c r="P77" s="1053">
        <f t="shared" si="30"/>
        <v>355</v>
      </c>
      <c r="Q77" s="1053">
        <f t="shared" si="31"/>
        <v>306</v>
      </c>
      <c r="R77" s="1053">
        <f t="shared" si="32"/>
        <v>355</v>
      </c>
      <c r="T77" s="1068">
        <v>666</v>
      </c>
      <c r="U77" s="1068">
        <v>568</v>
      </c>
      <c r="V77" s="1068">
        <v>504</v>
      </c>
      <c r="W77" s="1068">
        <v>403</v>
      </c>
      <c r="X77" s="1068">
        <v>479</v>
      </c>
      <c r="Y77" s="1068">
        <v>452</v>
      </c>
      <c r="Z77" s="1068">
        <v>421</v>
      </c>
      <c r="AA77" s="1068">
        <v>388</v>
      </c>
      <c r="AB77" s="1068">
        <v>328</v>
      </c>
      <c r="AC77" s="1068">
        <v>411</v>
      </c>
      <c r="AD77" s="1068">
        <v>392</v>
      </c>
      <c r="AE77" s="1068">
        <v>355</v>
      </c>
      <c r="AF77" s="1068">
        <v>306</v>
      </c>
      <c r="AG77" s="1068">
        <v>355</v>
      </c>
    </row>
    <row r="78" spans="1:33" ht="21" x14ac:dyDescent="0.2">
      <c r="A78" s="2479"/>
      <c r="B78" s="2479"/>
      <c r="C78" s="2061" t="s">
        <v>896</v>
      </c>
      <c r="D78" s="1054" t="s">
        <v>891</v>
      </c>
      <c r="E78" s="1042">
        <f t="shared" si="19"/>
        <v>376</v>
      </c>
      <c r="F78" s="1042">
        <f t="shared" si="20"/>
        <v>322</v>
      </c>
      <c r="G78" s="1042">
        <f t="shared" si="21"/>
        <v>286</v>
      </c>
      <c r="H78" s="1042">
        <f t="shared" si="22"/>
        <v>230</v>
      </c>
      <c r="I78" s="1042">
        <f t="shared" si="23"/>
        <v>272</v>
      </c>
      <c r="J78" s="1042">
        <f t="shared" si="24"/>
        <v>257</v>
      </c>
      <c r="K78" s="1042">
        <f t="shared" si="25"/>
        <v>240</v>
      </c>
      <c r="L78" s="1042">
        <f t="shared" si="26"/>
        <v>222</v>
      </c>
      <c r="M78" s="1042">
        <f t="shared" si="27"/>
        <v>188</v>
      </c>
      <c r="N78" s="1042">
        <f t="shared" si="28"/>
        <v>234</v>
      </c>
      <c r="O78" s="1042">
        <f t="shared" si="29"/>
        <v>224</v>
      </c>
      <c r="P78" s="1042">
        <f t="shared" si="30"/>
        <v>203</v>
      </c>
      <c r="Q78" s="1042">
        <f t="shared" si="31"/>
        <v>176</v>
      </c>
      <c r="R78" s="1042">
        <f t="shared" si="32"/>
        <v>203</v>
      </c>
      <c r="T78" s="1068">
        <v>376</v>
      </c>
      <c r="U78" s="1068">
        <v>322</v>
      </c>
      <c r="V78" s="1068">
        <v>286</v>
      </c>
      <c r="W78" s="1068">
        <v>230</v>
      </c>
      <c r="X78" s="1068">
        <v>272</v>
      </c>
      <c r="Y78" s="1068">
        <v>257</v>
      </c>
      <c r="Z78" s="1068">
        <v>240</v>
      </c>
      <c r="AA78" s="1068">
        <v>222</v>
      </c>
      <c r="AB78" s="1068">
        <v>188</v>
      </c>
      <c r="AC78" s="1068">
        <v>234</v>
      </c>
      <c r="AD78" s="1068">
        <v>224</v>
      </c>
      <c r="AE78" s="1068">
        <v>203</v>
      </c>
      <c r="AF78" s="1068">
        <v>176</v>
      </c>
      <c r="AG78" s="1068">
        <v>203</v>
      </c>
    </row>
    <row r="79" spans="1:33" ht="21" x14ac:dyDescent="0.2">
      <c r="A79" s="2479"/>
      <c r="B79" s="2479"/>
      <c r="C79" s="2063"/>
      <c r="D79" s="1050" t="s">
        <v>898</v>
      </c>
      <c r="E79" s="1046">
        <f t="shared" si="19"/>
        <v>185</v>
      </c>
      <c r="F79" s="1046">
        <f t="shared" si="20"/>
        <v>160</v>
      </c>
      <c r="G79" s="1046">
        <f t="shared" si="21"/>
        <v>143</v>
      </c>
      <c r="H79" s="1046">
        <f t="shared" si="22"/>
        <v>116</v>
      </c>
      <c r="I79" s="1046">
        <f t="shared" si="23"/>
        <v>136</v>
      </c>
      <c r="J79" s="1046">
        <f t="shared" si="24"/>
        <v>129</v>
      </c>
      <c r="K79" s="1046">
        <f t="shared" si="25"/>
        <v>121</v>
      </c>
      <c r="L79" s="1046">
        <f t="shared" si="26"/>
        <v>112</v>
      </c>
      <c r="M79" s="1046">
        <f t="shared" si="27"/>
        <v>96</v>
      </c>
      <c r="N79" s="1046">
        <f t="shared" si="28"/>
        <v>118</v>
      </c>
      <c r="O79" s="1046">
        <f t="shared" si="29"/>
        <v>113</v>
      </c>
      <c r="P79" s="1046">
        <f t="shared" si="30"/>
        <v>103</v>
      </c>
      <c r="Q79" s="1046">
        <f t="shared" si="31"/>
        <v>91</v>
      </c>
      <c r="R79" s="1046">
        <f t="shared" si="32"/>
        <v>103</v>
      </c>
      <c r="T79" s="1068">
        <v>185</v>
      </c>
      <c r="U79" s="1068">
        <v>160</v>
      </c>
      <c r="V79" s="1068">
        <v>143</v>
      </c>
      <c r="W79" s="1068">
        <v>116</v>
      </c>
      <c r="X79" s="1068">
        <v>136</v>
      </c>
      <c r="Y79" s="1068">
        <v>129</v>
      </c>
      <c r="Z79" s="1068">
        <v>121</v>
      </c>
      <c r="AA79" s="1068">
        <v>112</v>
      </c>
      <c r="AB79" s="1068">
        <v>96</v>
      </c>
      <c r="AC79" s="1068">
        <v>118</v>
      </c>
      <c r="AD79" s="1068">
        <v>113</v>
      </c>
      <c r="AE79" s="1068">
        <v>103</v>
      </c>
      <c r="AF79" s="1068">
        <v>91</v>
      </c>
      <c r="AG79" s="1068">
        <v>103</v>
      </c>
    </row>
    <row r="80" spans="1:33" ht="21" x14ac:dyDescent="0.3">
      <c r="A80" s="1071"/>
      <c r="B80" s="1071"/>
      <c r="C80" s="284"/>
      <c r="D80" s="16"/>
      <c r="E80" s="1040"/>
      <c r="F80" s="1040"/>
      <c r="G80" s="1040"/>
      <c r="H80" s="1040"/>
      <c r="I80" s="1040"/>
      <c r="J80" s="1040"/>
      <c r="K80" s="1040"/>
      <c r="L80" s="1040"/>
      <c r="M80" s="1040"/>
      <c r="N80" s="1040"/>
      <c r="O80" s="1040"/>
      <c r="P80" s="1040"/>
      <c r="Q80" s="1040"/>
      <c r="R80" s="1040"/>
      <c r="T80" s="1068"/>
      <c r="U80" s="1068"/>
      <c r="V80" s="1068"/>
      <c r="W80" s="1068"/>
      <c r="X80" s="1068"/>
      <c r="Y80" s="1068"/>
      <c r="Z80" s="1068"/>
      <c r="AA80" s="1068"/>
      <c r="AB80" s="1068"/>
      <c r="AC80" s="1068"/>
      <c r="AD80" s="1068"/>
      <c r="AE80" s="1068"/>
      <c r="AF80" s="1068"/>
      <c r="AG80" s="1068"/>
    </row>
    <row r="81" spans="1:33" ht="21" x14ac:dyDescent="0.3">
      <c r="A81" s="1071"/>
      <c r="B81" s="1071"/>
      <c r="C81" s="284"/>
      <c r="D81" s="16"/>
      <c r="E81" s="1040"/>
      <c r="F81" s="1040"/>
      <c r="G81" s="1040"/>
      <c r="H81" s="1040"/>
      <c r="I81" s="1040"/>
      <c r="J81" s="1040"/>
      <c r="K81" s="1040"/>
      <c r="L81" s="1040"/>
      <c r="M81" s="1040"/>
      <c r="N81" s="1040"/>
      <c r="O81" s="1040"/>
      <c r="P81" s="1040"/>
      <c r="Q81" s="1040"/>
      <c r="R81" s="1040"/>
      <c r="T81" s="1068"/>
      <c r="U81" s="1068"/>
      <c r="V81" s="1068"/>
      <c r="W81" s="1068"/>
      <c r="X81" s="1068"/>
      <c r="Y81" s="1068"/>
      <c r="Z81" s="1068"/>
      <c r="AA81" s="1068"/>
      <c r="AB81" s="1068"/>
      <c r="AC81" s="1068"/>
      <c r="AD81" s="1068"/>
      <c r="AE81" s="1068"/>
      <c r="AF81" s="1068"/>
      <c r="AG81" s="1068"/>
    </row>
    <row r="82" spans="1:33" ht="50.1" customHeight="1" x14ac:dyDescent="0.3">
      <c r="A82" s="1069" t="s">
        <v>939</v>
      </c>
      <c r="B82" s="1070">
        <v>0</v>
      </c>
      <c r="C82" s="252"/>
      <c r="D82" s="252"/>
      <c r="E82" s="1035"/>
      <c r="F82" s="1035"/>
      <c r="G82" s="1035"/>
      <c r="H82" s="1035"/>
      <c r="I82" s="395"/>
      <c r="K82" s="1036"/>
      <c r="L82" s="1037"/>
      <c r="M82" s="1037"/>
      <c r="N82" s="252"/>
      <c r="T82" s="1068"/>
      <c r="U82" s="1068"/>
      <c r="V82" s="1068"/>
      <c r="W82" s="1068"/>
      <c r="X82" s="1068"/>
      <c r="Y82" s="1068"/>
      <c r="Z82" s="1068"/>
      <c r="AA82" s="1068"/>
      <c r="AB82" s="1068"/>
      <c r="AC82" s="1068"/>
      <c r="AD82" s="1068"/>
      <c r="AE82" s="1068"/>
      <c r="AF82" s="1068"/>
      <c r="AG82" s="1068"/>
    </row>
    <row r="83" spans="1:33" ht="24.95" customHeight="1" x14ac:dyDescent="0.3">
      <c r="B83" s="252"/>
      <c r="C83" s="252"/>
      <c r="D83" s="252"/>
      <c r="E83" s="252"/>
      <c r="F83" s="252"/>
      <c r="G83" s="284"/>
      <c r="H83" s="284"/>
      <c r="I83" s="252"/>
      <c r="J83" s="252"/>
      <c r="K83" s="252"/>
      <c r="L83" s="252"/>
      <c r="M83" s="252"/>
      <c r="N83" s="252"/>
    </row>
    <row r="84" spans="1:33" ht="24.95" customHeight="1" x14ac:dyDescent="0.3">
      <c r="A84" s="252"/>
      <c r="B84" s="252"/>
      <c r="C84" s="252"/>
      <c r="D84" s="252"/>
      <c r="E84" s="252"/>
      <c r="F84" s="252"/>
      <c r="G84" s="252"/>
      <c r="H84" s="284"/>
      <c r="I84" s="252"/>
      <c r="J84" s="252"/>
      <c r="K84" s="252"/>
      <c r="L84" s="252"/>
      <c r="M84" s="252"/>
      <c r="N84" s="252"/>
    </row>
    <row r="85" spans="1:33" ht="24.95" customHeight="1" x14ac:dyDescent="0.3">
      <c r="A85" s="252"/>
      <c r="B85" s="252"/>
      <c r="C85" s="252"/>
      <c r="D85" s="252"/>
      <c r="E85" s="252"/>
      <c r="F85" s="252"/>
      <c r="G85" s="252"/>
      <c r="H85" s="284"/>
      <c r="I85" s="252"/>
      <c r="J85" s="252"/>
      <c r="K85" s="252"/>
      <c r="L85" s="252"/>
      <c r="M85" s="252"/>
      <c r="N85" s="252"/>
    </row>
    <row r="86" spans="1:33" ht="24.95" customHeight="1" x14ac:dyDescent="0.3">
      <c r="A86" s="252"/>
      <c r="B86" s="252"/>
      <c r="C86" s="252"/>
      <c r="D86" s="252"/>
      <c r="E86" s="252"/>
      <c r="F86" s="252"/>
      <c r="G86" s="252"/>
      <c r="H86" s="284"/>
      <c r="I86" s="252"/>
      <c r="J86" s="252"/>
      <c r="K86" s="252"/>
      <c r="L86" s="252"/>
      <c r="M86" s="252"/>
      <c r="N86" s="252"/>
    </row>
    <row r="87" spans="1:33" ht="24.95" customHeight="1" x14ac:dyDescent="0.3">
      <c r="A87" s="252"/>
      <c r="B87" s="252"/>
      <c r="C87" s="252"/>
      <c r="D87" s="252"/>
      <c r="E87" s="252"/>
      <c r="F87" s="252"/>
      <c r="G87" s="252"/>
      <c r="H87" s="284"/>
      <c r="I87" s="252"/>
      <c r="J87" s="252"/>
      <c r="K87" s="252"/>
      <c r="L87" s="252"/>
      <c r="M87" s="252"/>
      <c r="N87" s="252"/>
    </row>
    <row r="88" spans="1:33" ht="24.95" customHeight="1" x14ac:dyDescent="0.2"/>
    <row r="89" spans="1:33" ht="24.95" customHeight="1" x14ac:dyDescent="0.2"/>
    <row r="90" spans="1:33" ht="24.95" customHeight="1" x14ac:dyDescent="0.3">
      <c r="A90" s="1039"/>
    </row>
    <row r="91" spans="1:33" ht="24.95" customHeight="1" x14ac:dyDescent="0.2">
      <c r="A91" s="399"/>
    </row>
    <row r="92" spans="1:33" ht="24.95" customHeight="1" x14ac:dyDescent="0.2">
      <c r="A92" s="399"/>
    </row>
    <row r="93" spans="1:33" ht="24.95" customHeight="1" x14ac:dyDescent="0.2">
      <c r="A93" s="399"/>
    </row>
    <row r="94" spans="1:33" ht="24.95" customHeight="1" x14ac:dyDescent="0.2">
      <c r="A94" s="399"/>
    </row>
    <row r="95" spans="1:33" ht="24.95" customHeight="1" x14ac:dyDescent="0.3">
      <c r="A95" s="252"/>
    </row>
    <row r="96" spans="1:33" ht="24.95" customHeight="1" x14ac:dyDescent="0.2">
      <c r="A96" s="41"/>
    </row>
    <row r="97" ht="24.95" customHeight="1" x14ac:dyDescent="0.2"/>
    <row r="98" ht="24.95" customHeight="1" x14ac:dyDescent="0.2"/>
    <row r="99" ht="50.1" customHeight="1" x14ac:dyDescent="0.2"/>
    <row r="100" ht="7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7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50.1" customHeight="1" x14ac:dyDescent="0.2"/>
    <row r="164" ht="24.95" customHeight="1" x14ac:dyDescent="0.2"/>
    <row r="165" ht="50.1" customHeight="1" x14ac:dyDescent="0.2"/>
    <row r="166" ht="75" customHeight="1" x14ac:dyDescent="0.2"/>
    <row r="167" ht="50.1" customHeight="1" x14ac:dyDescent="0.2"/>
    <row r="168" ht="50.1" customHeight="1" x14ac:dyDescent="0.2"/>
    <row r="169" ht="50.1" customHeight="1" x14ac:dyDescent="0.2"/>
    <row r="170" ht="399.95" customHeight="1" x14ac:dyDescent="0.2"/>
    <row r="171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50.1" customHeight="1" x14ac:dyDescent="0.2"/>
    <row r="190" ht="7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50.1" customHeight="1" x14ac:dyDescent="0.2"/>
    <row r="250" ht="24.95" customHeight="1" x14ac:dyDescent="0.2"/>
    <row r="251" ht="50.1" customHeight="1" x14ac:dyDescent="0.2"/>
    <row r="252" ht="75" customHeight="1" x14ac:dyDescent="0.2"/>
    <row r="253" ht="50.1" customHeight="1" x14ac:dyDescent="0.2"/>
    <row r="254" ht="50.1" customHeight="1" x14ac:dyDescent="0.2"/>
    <row r="255" ht="50.1" customHeight="1" x14ac:dyDescent="0.2"/>
    <row r="256" ht="399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50.1" customHeight="1" x14ac:dyDescent="0.2"/>
    <row r="277" ht="7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7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  <row r="329" ht="24.95" customHeight="1" x14ac:dyDescent="0.2"/>
    <row r="330" ht="24.95" customHeight="1" x14ac:dyDescent="0.2"/>
    <row r="331" ht="24.95" customHeight="1" x14ac:dyDescent="0.2"/>
    <row r="332" ht="24.95" customHeight="1" x14ac:dyDescent="0.2"/>
    <row r="333" ht="24.95" customHeight="1" x14ac:dyDescent="0.2"/>
    <row r="334" ht="24.95" customHeight="1" x14ac:dyDescent="0.2"/>
    <row r="335" ht="24.95" customHeight="1" x14ac:dyDescent="0.2"/>
    <row r="336" ht="24.95" customHeight="1" x14ac:dyDescent="0.2"/>
    <row r="337" ht="24.95" customHeight="1" x14ac:dyDescent="0.2"/>
    <row r="338" ht="24.95" customHeight="1" x14ac:dyDescent="0.2"/>
    <row r="339" ht="24.95" customHeight="1" x14ac:dyDescent="0.2"/>
    <row r="340" ht="24.95" customHeight="1" x14ac:dyDescent="0.2"/>
    <row r="341" ht="24.95" customHeight="1" x14ac:dyDescent="0.2"/>
    <row r="342" ht="24.95" customHeight="1" x14ac:dyDescent="0.2"/>
    <row r="343" ht="24.95" customHeight="1" x14ac:dyDescent="0.2"/>
    <row r="344" ht="24.95" customHeight="1" x14ac:dyDescent="0.2"/>
    <row r="345" ht="24.95" customHeight="1" x14ac:dyDescent="0.2"/>
    <row r="346" ht="24.95" customHeight="1" x14ac:dyDescent="0.2"/>
    <row r="347" ht="24.95" customHeight="1" x14ac:dyDescent="0.2"/>
    <row r="348" ht="24.95" customHeight="1" x14ac:dyDescent="0.2"/>
    <row r="349" ht="24.95" customHeight="1" x14ac:dyDescent="0.2"/>
    <row r="350" ht="24.95" customHeight="1" x14ac:dyDescent="0.2"/>
    <row r="351" ht="24.95" customHeight="1" x14ac:dyDescent="0.2"/>
    <row r="352" ht="24.95" customHeight="1" x14ac:dyDescent="0.2"/>
    <row r="353" ht="24.95" customHeight="1" x14ac:dyDescent="0.2"/>
    <row r="354" ht="24.95" customHeight="1" x14ac:dyDescent="0.2"/>
    <row r="355" ht="24.95" customHeight="1" x14ac:dyDescent="0.2"/>
    <row r="356" ht="24.95" customHeight="1" x14ac:dyDescent="0.2"/>
    <row r="357" ht="24.95" customHeight="1" x14ac:dyDescent="0.2"/>
    <row r="358" ht="24.95" customHeight="1" x14ac:dyDescent="0.2"/>
    <row r="359" ht="24.95" customHeight="1" x14ac:dyDescent="0.2"/>
    <row r="360" ht="24.95" customHeight="1" x14ac:dyDescent="0.2"/>
    <row r="361" ht="24.95" customHeight="1" x14ac:dyDescent="0.2"/>
    <row r="362" ht="24.95" customHeight="1" x14ac:dyDescent="0.2"/>
    <row r="363" ht="24.95" customHeight="1" x14ac:dyDescent="0.2"/>
    <row r="364" ht="24.95" customHeight="1" x14ac:dyDescent="0.2"/>
    <row r="365" ht="24.95" customHeight="1" x14ac:dyDescent="0.2"/>
    <row r="366" ht="24.95" customHeight="1" x14ac:dyDescent="0.2"/>
    <row r="367" ht="24.95" customHeight="1" x14ac:dyDescent="0.2"/>
    <row r="368" ht="24.95" customHeight="1" x14ac:dyDescent="0.2"/>
    <row r="369" ht="24.95" customHeight="1" x14ac:dyDescent="0.2"/>
    <row r="370" ht="24.95" customHeight="1" x14ac:dyDescent="0.2"/>
    <row r="371" ht="24.95" customHeight="1" x14ac:dyDescent="0.2"/>
    <row r="372" ht="24.95" customHeight="1" x14ac:dyDescent="0.2"/>
    <row r="373" ht="24.95" customHeight="1" x14ac:dyDescent="0.2"/>
    <row r="374" ht="24.95" customHeight="1" x14ac:dyDescent="0.2"/>
    <row r="375" ht="24.95" customHeight="1" x14ac:dyDescent="0.2"/>
    <row r="376" ht="24.95" customHeight="1" x14ac:dyDescent="0.2"/>
    <row r="377" ht="24.95" customHeight="1" x14ac:dyDescent="0.2"/>
    <row r="378" ht="24.95" customHeight="1" x14ac:dyDescent="0.2"/>
    <row r="379" ht="24.95" customHeight="1" x14ac:dyDescent="0.2"/>
    <row r="380" ht="24.95" customHeight="1" x14ac:dyDescent="0.2"/>
    <row r="381" ht="24.95" customHeight="1" x14ac:dyDescent="0.2"/>
    <row r="382" ht="24.95" customHeight="1" x14ac:dyDescent="0.2"/>
    <row r="383" ht="24.95" customHeight="1" x14ac:dyDescent="0.2"/>
    <row r="384" ht="24.95" customHeight="1" x14ac:dyDescent="0.2"/>
    <row r="385" ht="24.95" customHeight="1" x14ac:dyDescent="0.2"/>
    <row r="386" ht="24.95" customHeight="1" x14ac:dyDescent="0.2"/>
    <row r="387" ht="24.95" customHeight="1" x14ac:dyDescent="0.2"/>
    <row r="388" ht="24.95" customHeight="1" x14ac:dyDescent="0.2"/>
    <row r="389" ht="24.95" customHeight="1" x14ac:dyDescent="0.2"/>
    <row r="390" ht="24.95" customHeight="1" x14ac:dyDescent="0.2"/>
    <row r="391" ht="24.95" customHeight="1" x14ac:dyDescent="0.2"/>
    <row r="392" ht="24.95" customHeight="1" x14ac:dyDescent="0.2"/>
    <row r="393" ht="24.95" customHeight="1" x14ac:dyDescent="0.2"/>
    <row r="394" ht="24.95" customHeight="1" x14ac:dyDescent="0.2"/>
    <row r="395" ht="24.95" customHeight="1" x14ac:dyDescent="0.2"/>
    <row r="396" ht="24.95" customHeight="1" x14ac:dyDescent="0.2"/>
    <row r="397" ht="24.95" customHeight="1" x14ac:dyDescent="0.2"/>
    <row r="398" ht="24.95" customHeight="1" x14ac:dyDescent="0.2"/>
    <row r="399" ht="24.95" customHeight="1" x14ac:dyDescent="0.2"/>
    <row r="400" ht="24.95" customHeight="1" x14ac:dyDescent="0.2"/>
    <row r="401" ht="24.95" customHeight="1" x14ac:dyDescent="0.2"/>
    <row r="402" ht="24.95" customHeight="1" x14ac:dyDescent="0.2"/>
    <row r="403" ht="24.95" customHeight="1" x14ac:dyDescent="0.2"/>
    <row r="404" ht="24.95" customHeight="1" x14ac:dyDescent="0.2"/>
    <row r="405" ht="24.95" customHeight="1" x14ac:dyDescent="0.2"/>
    <row r="406" ht="24.95" customHeight="1" x14ac:dyDescent="0.2"/>
    <row r="407" ht="24.95" customHeight="1" x14ac:dyDescent="0.2"/>
    <row r="408" ht="24.95" customHeight="1" x14ac:dyDescent="0.2"/>
    <row r="409" ht="24.95" customHeight="1" x14ac:dyDescent="0.2"/>
  </sheetData>
  <sheetProtection formatCells="0" formatColumns="0" formatRows="0" insertColumns="0" insertRows="0" insertHyperlinks="0" deleteColumns="0" deleteRows="0" sort="0" autoFilter="0" pivotTables="0"/>
  <mergeCells count="69">
    <mergeCell ref="C45:D45"/>
    <mergeCell ref="A43:D43"/>
    <mergeCell ref="C48:D48"/>
    <mergeCell ref="C37:D37"/>
    <mergeCell ref="C38:D38"/>
    <mergeCell ref="C39:D39"/>
    <mergeCell ref="C40:C41"/>
    <mergeCell ref="C44:D44"/>
    <mergeCell ref="C47:D47"/>
    <mergeCell ref="C76:D76"/>
    <mergeCell ref="C53:D53"/>
    <mergeCell ref="C61:D61"/>
    <mergeCell ref="C59:D59"/>
    <mergeCell ref="C60:D60"/>
    <mergeCell ref="C57:D57"/>
    <mergeCell ref="C58:D58"/>
    <mergeCell ref="C54:D54"/>
    <mergeCell ref="C55:D55"/>
    <mergeCell ref="C56:D56"/>
    <mergeCell ref="C77:D77"/>
    <mergeCell ref="C78:C79"/>
    <mergeCell ref="A35:B41"/>
    <mergeCell ref="A44:B68"/>
    <mergeCell ref="A71:B79"/>
    <mergeCell ref="A70:D70"/>
    <mergeCell ref="C62:C68"/>
    <mergeCell ref="C71:D71"/>
    <mergeCell ref="C72:D72"/>
    <mergeCell ref="C73:D73"/>
    <mergeCell ref="C74:D74"/>
    <mergeCell ref="C75:D75"/>
    <mergeCell ref="C49:D49"/>
    <mergeCell ref="C50:D50"/>
    <mergeCell ref="C51:D51"/>
    <mergeCell ref="C52:D52"/>
    <mergeCell ref="A25:D25"/>
    <mergeCell ref="A9:B14"/>
    <mergeCell ref="E3:R3"/>
    <mergeCell ref="C28:D28"/>
    <mergeCell ref="C29:D29"/>
    <mergeCell ref="C26:D26"/>
    <mergeCell ref="C27:D27"/>
    <mergeCell ref="A17:B23"/>
    <mergeCell ref="E4:M4"/>
    <mergeCell ref="C6:D6"/>
    <mergeCell ref="C7:D7"/>
    <mergeCell ref="A16:D16"/>
    <mergeCell ref="C30:D30"/>
    <mergeCell ref="C31:C32"/>
    <mergeCell ref="C35:D35"/>
    <mergeCell ref="C36:D36"/>
    <mergeCell ref="A34:D34"/>
    <mergeCell ref="A26:B32"/>
    <mergeCell ref="T7:AG7"/>
    <mergeCell ref="H1:M1"/>
    <mergeCell ref="Q2:R2"/>
    <mergeCell ref="E2:M2"/>
    <mergeCell ref="C46:D46"/>
    <mergeCell ref="N4:R4"/>
    <mergeCell ref="E5:H5"/>
    <mergeCell ref="C9:C14"/>
    <mergeCell ref="C17:D17"/>
    <mergeCell ref="C18:D18"/>
    <mergeCell ref="C19:D19"/>
    <mergeCell ref="C20:D20"/>
    <mergeCell ref="C21:D21"/>
    <mergeCell ref="C22:C23"/>
    <mergeCell ref="C4:D4"/>
    <mergeCell ref="C5:D5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32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534D-95CE-4758-8B5A-960C53728C31}">
  <sheetPr>
    <tabColor theme="9"/>
  </sheetPr>
  <dimension ref="A1:K88"/>
  <sheetViews>
    <sheetView showGridLines="0" zoomScale="80" zoomScaleNormal="80" zoomScaleSheetLayoutView="50" zoomScalePageLayoutView="55" workbookViewId="0">
      <selection activeCell="A8" sqref="A8"/>
    </sheetView>
  </sheetViews>
  <sheetFormatPr defaultColWidth="0" defaultRowHeight="15" x14ac:dyDescent="0.25"/>
  <cols>
    <col min="1" max="1" width="60.7109375" style="1082" customWidth="1"/>
    <col min="2" max="2" width="14" style="1082" customWidth="1"/>
    <col min="3" max="3" width="16.140625" style="1082" customWidth="1"/>
    <col min="4" max="4" width="15.5703125" style="1082" customWidth="1"/>
    <col min="5" max="6" width="14.42578125" style="1082" customWidth="1"/>
    <col min="7" max="7" width="12.5703125" style="1082" customWidth="1"/>
    <col min="8" max="8" width="13.5703125" style="1082" customWidth="1"/>
    <col min="9" max="9" width="14.85546875" style="1082" customWidth="1"/>
    <col min="10" max="10" width="19.5703125" style="1082" bestFit="1" customWidth="1"/>
    <col min="11" max="11" width="10.5703125" style="1082" hidden="1" customWidth="1"/>
    <col min="12" max="16384" width="9.140625" style="1082" hidden="1"/>
  </cols>
  <sheetData>
    <row r="1" spans="1:10" x14ac:dyDescent="0.25">
      <c r="A1" s="1074">
        <v>45987</v>
      </c>
      <c r="B1" s="1075"/>
      <c r="C1" s="1079"/>
      <c r="D1" s="1075"/>
      <c r="E1" s="1076"/>
      <c r="F1" s="1076"/>
      <c r="G1" s="1079"/>
      <c r="H1" s="1080"/>
      <c r="I1" s="1081"/>
      <c r="J1" s="1079"/>
    </row>
    <row r="2" spans="1:10" ht="27" customHeight="1" thickBot="1" x14ac:dyDescent="0.3">
      <c r="A2" s="1083" t="s">
        <v>941</v>
      </c>
      <c r="B2" s="1083"/>
      <c r="C2" s="1083"/>
      <c r="D2" s="1083"/>
      <c r="E2" s="1083"/>
      <c r="F2" s="1083"/>
      <c r="G2" s="1083"/>
      <c r="H2" s="1083"/>
      <c r="I2" s="1083"/>
      <c r="J2" s="1079"/>
    </row>
    <row r="3" spans="1:10" ht="16.5" customHeight="1" x14ac:dyDescent="0.25">
      <c r="A3" s="1084"/>
      <c r="B3" s="1085"/>
      <c r="C3" s="1079"/>
      <c r="D3" s="1079"/>
      <c r="E3" s="1079"/>
      <c r="F3" s="1079"/>
      <c r="G3" s="1079"/>
      <c r="H3" s="1086"/>
      <c r="I3" s="1086"/>
      <c r="J3" s="1087"/>
    </row>
    <row r="4" spans="1:10" ht="16.5" customHeight="1" x14ac:dyDescent="0.25">
      <c r="A4" s="2510" t="s">
        <v>942</v>
      </c>
      <c r="B4" s="2496" t="s">
        <v>943</v>
      </c>
      <c r="C4" s="2496"/>
      <c r="D4" s="2496"/>
      <c r="E4" s="2496"/>
      <c r="F4" s="2496"/>
      <c r="G4" s="2496"/>
      <c r="H4" s="2496"/>
      <c r="I4" s="2496"/>
      <c r="J4" s="1087"/>
    </row>
    <row r="5" spans="1:10" ht="16.5" customHeight="1" x14ac:dyDescent="0.25">
      <c r="A5" s="2510"/>
      <c r="B5" s="2511" t="s">
        <v>944</v>
      </c>
      <c r="C5" s="2511"/>
      <c r="D5" s="2511" t="s">
        <v>945</v>
      </c>
      <c r="E5" s="2511"/>
      <c r="F5" s="2511" t="s">
        <v>946</v>
      </c>
      <c r="G5" s="2511"/>
      <c r="H5" s="2511" t="s">
        <v>947</v>
      </c>
      <c r="I5" s="2511"/>
      <c r="J5" s="1087"/>
    </row>
    <row r="6" spans="1:10" ht="16.5" customHeight="1" x14ac:dyDescent="0.25">
      <c r="A6" s="1089" t="s">
        <v>948</v>
      </c>
      <c r="B6" s="2512" t="s">
        <v>949</v>
      </c>
      <c r="C6" s="2513"/>
      <c r="D6" s="2513"/>
      <c r="E6" s="2513"/>
      <c r="F6" s="2513"/>
      <c r="G6" s="2513"/>
      <c r="H6" s="2513"/>
      <c r="I6" s="2514"/>
      <c r="J6" s="1085" t="s">
        <v>950</v>
      </c>
    </row>
    <row r="7" spans="1:10" ht="16.5" customHeight="1" x14ac:dyDescent="0.25">
      <c r="A7" s="1090" t="s">
        <v>951</v>
      </c>
      <c r="B7" s="2509">
        <v>0</v>
      </c>
      <c r="C7" s="2509"/>
      <c r="D7" s="2509">
        <v>0</v>
      </c>
      <c r="E7" s="2509"/>
      <c r="F7" s="2509">
        <v>0</v>
      </c>
      <c r="G7" s="2509"/>
      <c r="H7" s="2509">
        <v>0</v>
      </c>
      <c r="I7" s="2509"/>
      <c r="J7" s="1085" t="s">
        <v>950</v>
      </c>
    </row>
    <row r="8" spans="1:10" ht="16.5" customHeight="1" x14ac:dyDescent="0.25">
      <c r="A8" s="1090" t="s">
        <v>952</v>
      </c>
      <c r="B8" s="2509">
        <v>0</v>
      </c>
      <c r="C8" s="2509"/>
      <c r="D8" s="2509">
        <v>0</v>
      </c>
      <c r="E8" s="2509"/>
      <c r="F8" s="2509">
        <v>0</v>
      </c>
      <c r="G8" s="2509"/>
      <c r="H8" s="2509">
        <v>0</v>
      </c>
      <c r="I8" s="2509"/>
      <c r="J8" s="1085" t="s">
        <v>953</v>
      </c>
    </row>
    <row r="9" spans="1:10" ht="16.5" customHeight="1" x14ac:dyDescent="0.25">
      <c r="A9" s="1090" t="s">
        <v>954</v>
      </c>
      <c r="B9" s="2509">
        <v>0</v>
      </c>
      <c r="C9" s="2509"/>
      <c r="D9" s="2509">
        <v>0</v>
      </c>
      <c r="E9" s="2509"/>
      <c r="F9" s="2509">
        <v>0</v>
      </c>
      <c r="G9" s="2509"/>
      <c r="H9" s="2509">
        <v>0</v>
      </c>
      <c r="I9" s="2509"/>
      <c r="J9" s="1085" t="s">
        <v>955</v>
      </c>
    </row>
    <row r="10" spans="1:10" ht="16.5" customHeight="1" x14ac:dyDescent="0.25">
      <c r="A10" s="1089" t="s">
        <v>956</v>
      </c>
      <c r="B10" s="2509">
        <v>0</v>
      </c>
      <c r="C10" s="2509"/>
      <c r="D10" s="2509">
        <v>0</v>
      </c>
      <c r="E10" s="2509"/>
      <c r="F10" s="2509">
        <v>0</v>
      </c>
      <c r="G10" s="2509"/>
      <c r="H10" s="2509">
        <v>0</v>
      </c>
      <c r="I10" s="2509"/>
      <c r="J10" s="1085" t="s">
        <v>955</v>
      </c>
    </row>
    <row r="11" spans="1:10" ht="16.5" customHeight="1" x14ac:dyDescent="0.25">
      <c r="A11" s="1089" t="s">
        <v>957</v>
      </c>
      <c r="B11" s="2509">
        <v>0</v>
      </c>
      <c r="C11" s="2509"/>
      <c r="D11" s="2509">
        <v>0</v>
      </c>
      <c r="E11" s="2509"/>
      <c r="F11" s="2509">
        <v>0</v>
      </c>
      <c r="G11" s="2509"/>
      <c r="H11" s="2509">
        <v>0</v>
      </c>
      <c r="I11" s="2509"/>
      <c r="J11" s="1085" t="s">
        <v>955</v>
      </c>
    </row>
    <row r="12" spans="1:10" ht="16.5" customHeight="1" x14ac:dyDescent="0.25">
      <c r="A12" s="1090" t="s">
        <v>958</v>
      </c>
      <c r="B12" s="2509" t="s">
        <v>959</v>
      </c>
      <c r="C12" s="2509"/>
      <c r="D12" s="2509" t="s">
        <v>959</v>
      </c>
      <c r="E12" s="2509"/>
      <c r="F12" s="2509" t="s">
        <v>959</v>
      </c>
      <c r="G12" s="2509"/>
      <c r="H12" s="2509" t="s">
        <v>959</v>
      </c>
      <c r="I12" s="2509"/>
      <c r="J12" s="1085" t="s">
        <v>950</v>
      </c>
    </row>
    <row r="13" spans="1:10" ht="16.5" customHeight="1" x14ac:dyDescent="0.25">
      <c r="A13" s="1090" t="s">
        <v>960</v>
      </c>
      <c r="B13" s="2507" t="s">
        <v>959</v>
      </c>
      <c r="C13" s="2508"/>
      <c r="D13" s="2507" t="s">
        <v>959</v>
      </c>
      <c r="E13" s="2508"/>
      <c r="F13" s="2507" t="s">
        <v>959</v>
      </c>
      <c r="G13" s="2508"/>
      <c r="H13" s="2507" t="s">
        <v>959</v>
      </c>
      <c r="I13" s="2508"/>
      <c r="J13" s="1085" t="s">
        <v>950</v>
      </c>
    </row>
    <row r="14" spans="1:10" ht="29.25" customHeight="1" x14ac:dyDescent="0.25">
      <c r="A14" s="1090" t="s">
        <v>961</v>
      </c>
      <c r="B14" s="2505" t="s">
        <v>962</v>
      </c>
      <c r="C14" s="2506"/>
      <c r="D14" s="2505" t="s">
        <v>959</v>
      </c>
      <c r="E14" s="2506"/>
      <c r="F14" s="2505" t="s">
        <v>959</v>
      </c>
      <c r="G14" s="2506"/>
      <c r="H14" s="2505" t="s">
        <v>959</v>
      </c>
      <c r="I14" s="2506"/>
      <c r="J14" s="1085" t="s">
        <v>950</v>
      </c>
    </row>
    <row r="15" spans="1:10" ht="19.5" customHeight="1" x14ac:dyDescent="0.25">
      <c r="A15" s="1090" t="s">
        <v>963</v>
      </c>
      <c r="B15" s="2505" t="s">
        <v>18</v>
      </c>
      <c r="C15" s="2506"/>
      <c r="D15" s="2505" t="s">
        <v>18</v>
      </c>
      <c r="E15" s="2506"/>
      <c r="F15" s="2505" t="s">
        <v>18</v>
      </c>
      <c r="G15" s="2506"/>
      <c r="H15" s="2505" t="s">
        <v>18</v>
      </c>
      <c r="I15" s="2506"/>
      <c r="J15" s="1085" t="s">
        <v>950</v>
      </c>
    </row>
    <row r="16" spans="1:10" ht="19.5" customHeight="1" x14ac:dyDescent="0.25">
      <c r="A16" s="1090" t="s">
        <v>964</v>
      </c>
      <c r="B16" s="2505" t="s">
        <v>959</v>
      </c>
      <c r="C16" s="2506"/>
      <c r="D16" s="2505" t="s">
        <v>959</v>
      </c>
      <c r="E16" s="2506"/>
      <c r="F16" s="2505" t="s">
        <v>959</v>
      </c>
      <c r="G16" s="2506"/>
      <c r="H16" s="2505" t="s">
        <v>959</v>
      </c>
      <c r="I16" s="2506"/>
      <c r="J16" s="1085" t="s">
        <v>950</v>
      </c>
    </row>
    <row r="17" spans="1:10" ht="19.5" customHeight="1" x14ac:dyDescent="0.25">
      <c r="A17" s="2494" t="s">
        <v>965</v>
      </c>
      <c r="B17" s="2494"/>
      <c r="C17" s="2494"/>
      <c r="D17" s="2494"/>
      <c r="E17" s="2494"/>
      <c r="F17" s="2494"/>
      <c r="G17" s="2494"/>
      <c r="H17" s="2494"/>
      <c r="I17" s="2494"/>
      <c r="J17" s="1079"/>
    </row>
    <row r="18" spans="1:10" ht="43.9" customHeight="1" x14ac:dyDescent="0.25">
      <c r="A18" s="1092" t="str">
        <f>IF(OR(B8&gt;2.5,D8&gt;2.5,F8&gt;2.5,H8&gt;2.5),"Секции более 2,5 метров не рекомендуются. Продажа осуществляется по подписанной спецификации клиента","")</f>
        <v/>
      </c>
      <c r="B18" s="2495" t="s">
        <v>966</v>
      </c>
      <c r="C18" s="2495"/>
      <c r="D18" s="2495"/>
      <c r="E18" s="2495"/>
      <c r="F18" s="2495"/>
      <c r="G18" s="2495"/>
      <c r="H18" s="2495"/>
      <c r="I18" s="2495"/>
      <c r="J18" s="1087"/>
    </row>
    <row r="19" spans="1:10" ht="16.5" customHeight="1" x14ac:dyDescent="0.25">
      <c r="A19" s="2496" t="s">
        <v>967</v>
      </c>
      <c r="B19" s="2497" t="s">
        <v>968</v>
      </c>
      <c r="C19" s="2498"/>
      <c r="D19" s="2498" t="s">
        <v>969</v>
      </c>
      <c r="E19" s="2498"/>
      <c r="F19" s="2498" t="s">
        <v>970</v>
      </c>
      <c r="G19" s="2498"/>
      <c r="H19" s="2498" t="s">
        <v>971</v>
      </c>
      <c r="I19" s="2499"/>
      <c r="J19" s="1079"/>
    </row>
    <row r="20" spans="1:10" ht="16.5" customHeight="1" x14ac:dyDescent="0.25">
      <c r="A20" s="2496"/>
      <c r="B20" s="1088" t="s">
        <v>972</v>
      </c>
      <c r="C20" s="1093" t="s">
        <v>973</v>
      </c>
      <c r="D20" s="1094" t="s">
        <v>972</v>
      </c>
      <c r="E20" s="1093" t="s">
        <v>973</v>
      </c>
      <c r="F20" s="1094" t="s">
        <v>972</v>
      </c>
      <c r="G20" s="1093" t="s">
        <v>973</v>
      </c>
      <c r="H20" s="1094" t="s">
        <v>972</v>
      </c>
      <c r="I20" s="1088" t="s">
        <v>973</v>
      </c>
      <c r="J20" s="1079"/>
    </row>
    <row r="21" spans="1:10" ht="16.5" customHeight="1" x14ac:dyDescent="0.25">
      <c r="A21" s="1095" t="s">
        <v>974</v>
      </c>
      <c r="B21" s="1095"/>
      <c r="C21" s="1096"/>
      <c r="D21" s="1097"/>
      <c r="E21" s="1098"/>
      <c r="F21" s="1097"/>
      <c r="G21" s="1098"/>
      <c r="H21" s="1097"/>
      <c r="I21" s="1099"/>
      <c r="J21" s="1079"/>
    </row>
    <row r="22" spans="1:10" ht="16.5" customHeight="1" x14ac:dyDescent="0.25">
      <c r="A22" s="1100" t="str">
        <f>B6</f>
        <v>Ламель Milan</v>
      </c>
      <c r="B22" s="1101">
        <f>IF(B8=0,0,B8-0.01)</f>
        <v>0</v>
      </c>
      <c r="C22" s="1102">
        <f>IF(B22=0,0,B9*ROUNDDOWN(B7/(110/1000),0))</f>
        <v>0</v>
      </c>
      <c r="D22" s="1101">
        <f>IF(D8=0,0,D8-0.01)</f>
        <v>0</v>
      </c>
      <c r="E22" s="1102">
        <f>IF(D22=0,0,D9*ROUNDDOWN(D7/(110/1000),0))</f>
        <v>0</v>
      </c>
      <c r="F22" s="1101">
        <f>IF(F8=0,0,F8-0.01)</f>
        <v>0</v>
      </c>
      <c r="G22" s="1102">
        <f>IF(F22=0,0,F9*ROUNDDOWN(F7/(110/1000),0))</f>
        <v>0</v>
      </c>
      <c r="H22" s="1101">
        <f>IF(H8=0,0,H8-0.01)</f>
        <v>0</v>
      </c>
      <c r="I22" s="1103">
        <f>IF(H22=0,0,H9*ROUNDDOWN(H7/(110/1000),0))</f>
        <v>0</v>
      </c>
      <c r="J22" s="1079"/>
    </row>
    <row r="23" spans="1:10" ht="16.5" customHeight="1" x14ac:dyDescent="0.25">
      <c r="A23" s="1100" t="s">
        <v>975</v>
      </c>
      <c r="B23" s="1101">
        <f>IF(B6="Ламель Milan slim",0,IF(AND(B8&gt;=0.5, B8&lt;=2), 2, IF(AND(B8&gt;2, B8&lt;=2.5), 2.5, IF(AND(B8&gt;2.5, B8&lt;=3), 3,0))))</f>
        <v>0</v>
      </c>
      <c r="C23" s="1102">
        <f>IF(B23=0,0,B9)</f>
        <v>0</v>
      </c>
      <c r="D23" s="1101">
        <f>IF(B6="Ламель Milan slim",0,IF(AND(D8&gt;=0.5, D8&lt;=2), 2, IF(AND(D8&gt;2, D8&lt;=2.5), 2.5, IF(AND(D8&gt;2.5, D8&lt;=3), 3,0))))</f>
        <v>0</v>
      </c>
      <c r="E23" s="1102">
        <f>IF(D23=0,0,D9)</f>
        <v>0</v>
      </c>
      <c r="F23" s="1101">
        <f>IF(B6="Ламель Milan slim",0,IF(AND(F8&gt;=0.5, F8&lt;=2), 2, IF(AND(F8&gt;2, F8&lt;=2.5), 2.5, IF(AND(F8&gt;2.5, F8&lt;=3), 3,0))))</f>
        <v>0</v>
      </c>
      <c r="G23" s="1102">
        <f>IF(F23=0,0,F9)</f>
        <v>0</v>
      </c>
      <c r="H23" s="1101">
        <f>IF(B6="Ламель Milan slim",0,IF(AND(H8&gt;=0.5, H8&lt;=2), 2, IF(AND(H8&gt;2, H8&lt;=2.5), 2.5, IF(AND(H8&gt;2.5, H8&lt;=3), 3,0))))</f>
        <v>0</v>
      </c>
      <c r="I23" s="1103">
        <f>IF(H23=0,0,H9)</f>
        <v>0</v>
      </c>
      <c r="J23" s="1104"/>
    </row>
    <row r="24" spans="1:10" ht="16.5" customHeight="1" x14ac:dyDescent="0.25">
      <c r="A24" s="1100" t="s">
        <v>976</v>
      </c>
      <c r="B24" s="1101">
        <f>IF(AND(B7&gt;0,B12="да"),0,IF(AND(B7&gt;=0.1, B7&lt;=1.8), 1.8, IF(AND(B7&gt;1.8, B7&lt;=2), 2, IF(AND(B7&gt;2, B7&lt;=2.5), 2.5, IF(AND(B7&gt;2.5, B7&lt;=3), 3, 0)))))</f>
        <v>0</v>
      </c>
      <c r="C24" s="1102">
        <f>IF(B24=0,0,IF(B9=0,0,IF(B9=1,2*2,IF(B11=0,(B9+1)*2-C25,(B9+1+B11)*2-C25))))</f>
        <v>0</v>
      </c>
      <c r="D24" s="1101">
        <f>IF(AND(D7&gt;0,D12="да"),0,IF(AND(D7&gt;=0.1, D7&lt;=1.8), 1.8, IF(AND(D7&gt;1.8, D7&lt;=2), 2, IF(AND(D7&gt;2, D7&lt;=2.5), 2.5, IF(AND(D7&gt;2.5, D7&lt;=3), 3, 0)))))</f>
        <v>0</v>
      </c>
      <c r="E24" s="1102">
        <f>IF(D24=0,0,IF(D9=0,0,IF(D9=1,2*2,IF(D11=0,(D9+1)*2-E25,(D9+1+D11)*2-E25))))</f>
        <v>0</v>
      </c>
      <c r="F24" s="1101">
        <f>IF(AND(F7&gt;0,F12="да"),0,IF(AND(F7&gt;=0.1, F7&lt;=1.8), 1.8, IF(AND(F7&gt;1.8, F7&lt;=2), 2, IF(AND(F7&gt;2, F7&lt;=2.5), 2.5, IF(AND(F7&gt;2.5, F7&lt;=3), 3, 0)))))</f>
        <v>0</v>
      </c>
      <c r="G24" s="1102">
        <f>IF(F24=0,0,IF(F9=0,0,IF(F9=1,2*2,IF(F11=0,(F9+1)*2-G25,(F9+1+F11)*2-G25))))</f>
        <v>0</v>
      </c>
      <c r="H24" s="1101">
        <f>IF(AND(H7&gt;0,H12="да"),0,IF(AND(H7&gt;=0.1, H7&lt;=1.8), 1.8, IF(AND(H7&gt;1.8, H7&lt;=2), 2, IF(AND(H7&gt;2, H7&lt;=2.5), 2.5, IF(AND(H7&gt;2.5, H7&lt;=3), 3, 0)))))</f>
        <v>0</v>
      </c>
      <c r="I24" s="1103">
        <f>IF(H24=0,0,IF(H9=0,0,IF(H9=1,2*2,IF(H11=0,(H9+1)*2-I25,(H9+1+H11)*2-I25))))</f>
        <v>0</v>
      </c>
      <c r="J24" s="1104"/>
    </row>
    <row r="25" spans="1:10" ht="16.5" customHeight="1" x14ac:dyDescent="0.25">
      <c r="A25" s="1100" t="s">
        <v>977</v>
      </c>
      <c r="B25" s="1101">
        <f>IF(OR(AND(B10=0,B11=0),B12="да"),0,IF(AND(B7&gt;=0.1, B7&lt;=1.8), 1.8, IF(AND(B7&gt;1.8, B7&lt;=2), 2, IF(AND(B7&gt;2, B7&lt;=2.5), 2.5, IF(AND(B7&gt;2.5, B7&lt;=3), 3, 0)))))</f>
        <v>0</v>
      </c>
      <c r="C25" s="1102">
        <f>IF(B25=0,0,B10+B11*2)</f>
        <v>0</v>
      </c>
      <c r="D25" s="1101">
        <f>IF(OR(AND(D10=0,D11=0),D12="да"),0,IF(AND(D7&gt;=0.1, D7&lt;=1.8), 1.8, IF(AND(D7&gt;1.8, D7&lt;=2), 2, IF(AND(D7&gt;2, D7&lt;=2.5), 2.5, IF(AND(D7&gt;2.5, D7&lt;=3), 3, 0)))))</f>
        <v>0</v>
      </c>
      <c r="E25" s="1102">
        <f>IF(D25=0,0,D10+D11*2)</f>
        <v>0</v>
      </c>
      <c r="F25" s="1101">
        <f>IF(OR(AND(F10=0,F11=0),F12="да"),0,IF(AND(F7&gt;=0.1, F7&lt;=1.8), 1.8, IF(AND(F7&gt;1.8, F7&lt;=2), 2, IF(AND(F7&gt;2, F7&lt;=2.5), 2.5, IF(AND(F7&gt;2.5, F7&lt;=3), 3, 0)))))</f>
        <v>0</v>
      </c>
      <c r="G25" s="1102">
        <f>IF(F25=0,0,F10+F11*2)</f>
        <v>0</v>
      </c>
      <c r="H25" s="1101">
        <f>IF(OR(AND(H10=0,H11=0),H12="да"),0,IF(AND(H7&gt;=0.1, H7&lt;=1.8), 1.8, IF(AND(H7&gt;1.8, H7&lt;=2), 2, IF(AND(H7&gt;2, H7&lt;=2.5), 2.5, IF(AND(H7&gt;2.5, H7&lt;=3), 3, 0)))))</f>
        <v>0</v>
      </c>
      <c r="I25" s="1103">
        <f>IF(H25=0,0,H10+H11*2)</f>
        <v>0</v>
      </c>
      <c r="J25" s="1079"/>
    </row>
    <row r="26" spans="1:10" ht="16.5" customHeight="1" x14ac:dyDescent="0.25">
      <c r="A26" s="1100" t="s">
        <v>978</v>
      </c>
      <c r="B26" s="1101">
        <f>IF(B9=0,0,IF(AND(B7&gt;=0.1, B7&lt;=1.8), 1.8, IF(AND(B7&gt;1.8, B7&lt;=2), 2, IF(AND(B7&gt;2, B7&lt;=2.5), 2.5, IF(AND(B7&gt;2.5, B7&lt;=3), 3, 0)))))</f>
        <v>0</v>
      </c>
      <c r="C26" s="1102">
        <f>B9*(IF(AND(B8&gt;=0,B8&lt;=1),0,IF(AND(B8&gt;1.1,B8&lt;=1.99),1,IF(AND(B8&gt;=2,B8&lt;=3),2,0))))</f>
        <v>0</v>
      </c>
      <c r="D26" s="1101">
        <f>IF(D9=0,0,IF(AND(D7&gt;=0.1, D7&lt;=1.8), 1.8, IF(AND(D7&gt;1.8, D7&lt;=2), 2, IF(AND(D7&gt;2, D7&lt;=2.5), 2.5, IF(AND(D7&gt;2.5, D7&lt;=3), 3, 0)))))</f>
        <v>0</v>
      </c>
      <c r="E26" s="1102">
        <f>D9*(IF(AND(D8&gt;=0,D8&lt;=1),0,IF(AND(D8&gt;1.1,D8&lt;=1.99),1,IF(AND(D8&gt;=2,D8&lt;=3),2,0))))</f>
        <v>0</v>
      </c>
      <c r="F26" s="1101">
        <f>IF(F9=0,0,IF(AND(F7&gt;=0.1, F7&lt;=1.8), 1.8, IF(AND(F7&gt;1.8, F7&lt;=2), 2, IF(AND(F7&gt;2, F7&lt;=2.5), 2.5, IF(AND(F7&gt;2.5, F7&lt;=3), 3, 0)))))</f>
        <v>0</v>
      </c>
      <c r="G26" s="1102">
        <f>F9*(IF(AND(F8&gt;=0,F8&lt;=1),0,IF(AND(F8&gt;1.1,F8&lt;=1.99),1,IF(AND(F8&gt;=2,F8&lt;=3),2,0))))</f>
        <v>0</v>
      </c>
      <c r="H26" s="1101">
        <f>IF(H9=0,0,IF(AND(H7&gt;=0.1, H7&lt;=1.8), 1.8, IF(AND(H7&gt;1.8, H7&lt;=2), 2, IF(AND(H7&gt;2, H7&lt;=2.5), 2.5, IF(AND(H7&gt;2.5, H7&lt;=3), 3, 0)))))</f>
        <v>0</v>
      </c>
      <c r="I26" s="1103">
        <f>H9*(IF(AND(H8&gt;=0,H8&lt;=1),0,IF(AND(H8&gt;1.1,H8&lt;=1.99),1,IF(AND(H8&gt;=2,H8&lt;=3),2,0))))</f>
        <v>0</v>
      </c>
      <c r="J26" s="1105"/>
    </row>
    <row r="27" spans="1:10" ht="16.5" customHeight="1" x14ac:dyDescent="0.25">
      <c r="A27" s="1100" t="str">
        <f>IF(B6="Ламель Milan slim","Стойка slim","Стойка")</f>
        <v>Стойка</v>
      </c>
      <c r="B27" s="1101">
        <f>IF(B9=0,0,IF(AND(B7&gt;=0.1, B7&lt;=1.8), 1.8, IF(AND(B7&gt;1.8, B7&lt;=2), 2, IF(AND(B7&gt;2, B7&lt;=2.5), 2.5, IF(AND(B7&gt;2.5, B7&lt;=3), 3, 0)))))</f>
        <v>0</v>
      </c>
      <c r="C27" s="1102">
        <f>2*B9</f>
        <v>0</v>
      </c>
      <c r="D27" s="1101">
        <f>IF(D9=0,0,IF(AND(D7&gt;=0.1, D7&lt;=1.8), 1.8, IF(AND(D7&gt;1.8, D7&lt;=2), 2, IF(AND(D7&gt;2, D7&lt;=2.5), 2.5, IF(AND(D7&gt;2.5, D7&lt;=3), 3, 0)))))</f>
        <v>0</v>
      </c>
      <c r="E27" s="1102">
        <f>2*D9</f>
        <v>0</v>
      </c>
      <c r="F27" s="1101">
        <f>IF(F9=0,0,IF(AND(F7&gt;=0.1, F7&lt;=1.8), 1.8, IF(AND(F7&gt;1.8, F7&lt;=2), 2, IF(AND(F7&gt;2, F7&lt;=2.5), 2.5, IF(AND(F7&gt;2.5, F7&lt;=3), 3, 0)))))</f>
        <v>0</v>
      </c>
      <c r="G27" s="1102">
        <f>2*F9</f>
        <v>0</v>
      </c>
      <c r="H27" s="1101">
        <f>IF(H9=0,0,IF(AND(H7&gt;=0.1, H7&lt;=1.8), 1.8, IF(AND(H7&gt;1.8, H7&lt;=2), 2, IF(AND(H7&gt;2, H7&lt;=2.5), 2.5, IF(AND(H7&gt;2.5, H7&lt;=3), 3, 0)))))</f>
        <v>0</v>
      </c>
      <c r="I27" s="1103">
        <f>2*H9</f>
        <v>0</v>
      </c>
      <c r="J27" s="1079"/>
    </row>
    <row r="28" spans="1:10" ht="16.5" customHeight="1" x14ac:dyDescent="0.25">
      <c r="A28" s="1100" t="str">
        <f>IF(B6="Ламель Milan slim","Крышка slim","Крышка ")</f>
        <v xml:space="preserve">Крышка </v>
      </c>
      <c r="B28" s="1101">
        <f>IF(AND(B8&gt;=0.5, B8&lt;=2), 2, IF(AND(B8&gt;2, B8&lt;=2.5), 2.5, IF(AND(B8&gt;2.5, B8&lt;=3), 3,0)))</f>
        <v>0</v>
      </c>
      <c r="C28" s="1102">
        <f>1*B9</f>
        <v>0</v>
      </c>
      <c r="D28" s="1101">
        <f>IF(AND(D8&gt;=0.5, D8&lt;=2), 2, IF(AND(D8&gt;2, D8&lt;=2.5), 2.5, IF(AND(D8&gt;2.5, D8&lt;=3), 3,0)))</f>
        <v>0</v>
      </c>
      <c r="E28" s="1102">
        <f>1*D9</f>
        <v>0</v>
      </c>
      <c r="F28" s="1101">
        <f>IF(AND(F8&gt;=0.5, F8&lt;=2), 2, IF(AND(F8&gt;2, F8&lt;=2.5), 2.5, IF(AND(F8&gt;2.5, F8&lt;=3), 3,0)))</f>
        <v>0</v>
      </c>
      <c r="G28" s="1102">
        <f>1*F9</f>
        <v>0</v>
      </c>
      <c r="H28" s="1101">
        <f>IF(AND(H8&gt;=0.5, H8&lt;=2), 2, IF(AND(H8&gt;2, H8&lt;=2.5), 2.5, IF(AND(H8&gt;2.5, H8&lt;=3), 3,0)))</f>
        <v>0</v>
      </c>
      <c r="I28" s="1103">
        <f>1*H9</f>
        <v>0</v>
      </c>
      <c r="J28" s="1079"/>
    </row>
    <row r="29" spans="1:10" ht="16.5" customHeight="1" x14ac:dyDescent="0.25">
      <c r="A29" s="1106" t="s">
        <v>979</v>
      </c>
      <c r="B29" s="1107" t="s">
        <v>18</v>
      </c>
      <c r="C29" s="1102">
        <f>IF(B12="да",0,(IF(B9=0,0,IF(B9=1,2,IF(B11=0,B9+1,B9+1+B11)))))</f>
        <v>0</v>
      </c>
      <c r="D29" s="1107" t="s">
        <v>18</v>
      </c>
      <c r="E29" s="1102">
        <f>IF(D12="да",0,(IF(D9=0,0,IF(D9=1,2,IF(D11=0,D9+1,D9+1+D11)))))</f>
        <v>0</v>
      </c>
      <c r="F29" s="1107" t="s">
        <v>18</v>
      </c>
      <c r="G29" s="1102">
        <f>IF(F12="да",0,(IF(F9=0,0,IF(F9=1,2,IF(F11=0,F9+1,F9+1+F11)))))</f>
        <v>0</v>
      </c>
      <c r="H29" s="1107" t="s">
        <v>18</v>
      </c>
      <c r="I29" s="1103">
        <f>IF(H12="да",0,(IF(H9=0,0,IF(H9=1,2,IF(H11=0,H9+1,H9+1+H11)))))</f>
        <v>0</v>
      </c>
      <c r="J29" s="1079"/>
    </row>
    <row r="30" spans="1:10" ht="16.5" customHeight="1" x14ac:dyDescent="0.25">
      <c r="A30" s="1100" t="s">
        <v>980</v>
      </c>
      <c r="B30" s="1101" t="s">
        <v>18</v>
      </c>
      <c r="C30" s="1102">
        <f>IF(B9=0,0,2)</f>
        <v>0</v>
      </c>
      <c r="D30" s="1101" t="s">
        <v>18</v>
      </c>
      <c r="E30" s="1102">
        <f>IF(D9=0,0,2)</f>
        <v>0</v>
      </c>
      <c r="F30" s="1101" t="s">
        <v>18</v>
      </c>
      <c r="G30" s="1102">
        <f>IF(F9=0,0,2)</f>
        <v>0</v>
      </c>
      <c r="H30" s="1108" t="s">
        <v>18</v>
      </c>
      <c r="I30" s="1103">
        <f>IF(H9=0,0,2)</f>
        <v>0</v>
      </c>
      <c r="J30" s="1079"/>
    </row>
    <row r="31" spans="1:10" ht="16.5" customHeight="1" x14ac:dyDescent="0.25">
      <c r="A31" s="1109" t="s">
        <v>981</v>
      </c>
      <c r="B31" s="1107" t="str">
        <f>IF(C31=0,"-","5,5х19")</f>
        <v>-</v>
      </c>
      <c r="C31" s="1102">
        <f>IF(B12="да",0,(C27*5))</f>
        <v>0</v>
      </c>
      <c r="D31" s="1107" t="str">
        <f>IF(E31=0,"-","5,5х19")</f>
        <v>-</v>
      </c>
      <c r="E31" s="1102">
        <f>IF(D12="да",0,(E27*5))</f>
        <v>0</v>
      </c>
      <c r="F31" s="1107" t="str">
        <f>IF(G31=0,"-","5,5х19")</f>
        <v>-</v>
      </c>
      <c r="G31" s="1102">
        <f>IF(F12="да",0,(G27*5))</f>
        <v>0</v>
      </c>
      <c r="H31" s="1110" t="str">
        <f>IF(I31=0,"-","5,5х19")</f>
        <v>-</v>
      </c>
      <c r="I31" s="1103">
        <f>IF(H12="да",0,(I27*5))</f>
        <v>0</v>
      </c>
      <c r="J31" s="1079"/>
    </row>
    <row r="32" spans="1:10" ht="16.5" customHeight="1" x14ac:dyDescent="0.25">
      <c r="A32" s="1100" t="s">
        <v>982</v>
      </c>
      <c r="B32" s="1107" t="str">
        <f>IF(C32=0,"-","4,2x16")</f>
        <v>-</v>
      </c>
      <c r="C32" s="1111">
        <f>IF(B9=0,0,IF(B16="нет", 4*C28+4*C22+C26*C22/B9,4*C28+C26*C22/B9))</f>
        <v>0</v>
      </c>
      <c r="D32" s="1107" t="str">
        <f>IF(E32=0,"-","4,2x16")</f>
        <v>-</v>
      </c>
      <c r="E32" s="1111">
        <f>IF(D9=0,0,IF(D16="нет", 4*E28+4*E22+E26*E22/D9,4*E28+E26*E22/D9))</f>
        <v>0</v>
      </c>
      <c r="F32" s="1107" t="str">
        <f>IF(G32=0,"-","4,2x16")</f>
        <v>-</v>
      </c>
      <c r="G32" s="1111">
        <f>IF(F9=0,0,IF(F16="нет", 4*G28+4*G22+G26*G22/F9,4*G28+G26*G22/F9))</f>
        <v>0</v>
      </c>
      <c r="H32" s="1110" t="str">
        <f>IF(I32=0,"-","4,2x16")</f>
        <v>-</v>
      </c>
      <c r="I32" s="1103">
        <f>IF(H9=0,0,IF(H16="нет", 4*I28+4*I22+I26*I22/H9,4*I28+I26*I22/H9))</f>
        <v>0</v>
      </c>
      <c r="J32" s="1112"/>
    </row>
    <row r="33" spans="1:10" ht="16.5" customHeight="1" x14ac:dyDescent="0.25">
      <c r="A33" s="1100" t="s">
        <v>983</v>
      </c>
      <c r="B33" s="1107" t="str">
        <f>IF(C33=0,"-","7,5x52")</f>
        <v>-</v>
      </c>
      <c r="C33" s="1102">
        <f>IF(B$9=0,0,IF(B$12="да",C27*5,0))</f>
        <v>0</v>
      </c>
      <c r="D33" s="1107" t="str">
        <f>IF(E33=0,"-","7,5x52")</f>
        <v>-</v>
      </c>
      <c r="E33" s="1102">
        <f>IF(D$9=0,0,IF(D$12="да",E27*5,0))</f>
        <v>0</v>
      </c>
      <c r="F33" s="1107" t="str">
        <f>IF(G33=0,"-","7,5x52")</f>
        <v>-</v>
      </c>
      <c r="G33" s="1102">
        <f>IF(F$9=0,0,IF(F$12="да",G27*5,0))</f>
        <v>0</v>
      </c>
      <c r="H33" s="1110" t="str">
        <f>IF(I33=0,"-","7,5x52")</f>
        <v>-</v>
      </c>
      <c r="I33" s="1103">
        <f>IF(H$9=0,0,IF(H$12="да",I27*5,0))</f>
        <v>0</v>
      </c>
      <c r="J33" s="1079"/>
    </row>
    <row r="34" spans="1:10" ht="16.5" customHeight="1" x14ac:dyDescent="0.25">
      <c r="A34" s="1100" t="s">
        <v>984</v>
      </c>
      <c r="B34" s="1107"/>
      <c r="C34" s="1102">
        <f>C33</f>
        <v>0</v>
      </c>
      <c r="D34" s="1107"/>
      <c r="E34" s="1102">
        <f>E33</f>
        <v>0</v>
      </c>
      <c r="F34" s="1107"/>
      <c r="G34" s="1102">
        <f>G33</f>
        <v>0</v>
      </c>
      <c r="H34" s="1110"/>
      <c r="I34" s="1103">
        <f>I33</f>
        <v>0</v>
      </c>
      <c r="J34" s="1079"/>
    </row>
    <row r="35" spans="1:10" ht="16.5" customHeight="1" x14ac:dyDescent="0.25">
      <c r="A35" s="1100" t="s">
        <v>985</v>
      </c>
      <c r="B35" s="1107" t="str">
        <f>IF(C35="инд. расчет","инд. расчет","")</f>
        <v/>
      </c>
      <c r="C35" s="1102">
        <f>IF(B16="нет",0,IF(AND(B16="да",B7&lt;=2),B9,ROUNDUP(B7/2*B9,0)))*2</f>
        <v>0</v>
      </c>
      <c r="D35" s="1107" t="str">
        <f>IF(E35="инд. расчет","инд. расчет","")</f>
        <v/>
      </c>
      <c r="E35" s="1102">
        <f>IF(D16="нет",0,IF(AND(D16="да",D7&lt;=2),D9,ROUNDUP(D7/2*D9,0)))*2</f>
        <v>0</v>
      </c>
      <c r="F35" s="1107" t="str">
        <f>IF(G35="инд. расчет","инд. расчет","")</f>
        <v/>
      </c>
      <c r="G35" s="1102">
        <f>IF(F16="нет",0,IF(AND(F16="да",F7&lt;=2),F9,ROUNDUP(F7/2*F9,0)))*2</f>
        <v>0</v>
      </c>
      <c r="H35" s="1110" t="str">
        <f>IF(I35="инд. расчет","инд. расчет","")</f>
        <v/>
      </c>
      <c r="I35" s="1103">
        <f>IF(H16="нет",0,IF(AND(H16="да",H7&lt;=2),H9,ROUNDUP(H7/2*H9,0)))*2</f>
        <v>0</v>
      </c>
      <c r="J35" s="1113"/>
    </row>
    <row r="36" spans="1:10" ht="24" customHeight="1" x14ac:dyDescent="0.25">
      <c r="A36" s="1100"/>
      <c r="B36" s="2500" t="str">
        <f>IF(B16="нет","Крепежный вкладыш не применяется","")</f>
        <v>Крепежный вкладыш не применяется</v>
      </c>
      <c r="C36" s="2501"/>
      <c r="D36" s="2500" t="str">
        <f>IF(D16="нет","Крепежный вкладыш не применяется","")</f>
        <v>Крепежный вкладыш не применяется</v>
      </c>
      <c r="E36" s="2501"/>
      <c r="F36" s="2500" t="str">
        <f>IF(F16="нет","Крепежный вкладыш не применяется","")</f>
        <v>Крепежный вкладыш не применяется</v>
      </c>
      <c r="G36" s="2501"/>
      <c r="H36" s="2502" t="str">
        <f>IF(H16="нет","Крепежный вкладыш не применяется","")</f>
        <v>Крепежный вкладыш не применяется</v>
      </c>
      <c r="I36" s="2503"/>
      <c r="J36" s="1113"/>
    </row>
    <row r="37" spans="1:10" ht="16.5" customHeight="1" x14ac:dyDescent="0.25">
      <c r="A37" s="1095" t="s">
        <v>986</v>
      </c>
      <c r="B37" s="1114"/>
      <c r="C37" s="1115"/>
      <c r="D37" s="1116"/>
      <c r="E37" s="1117"/>
      <c r="F37" s="1118"/>
      <c r="G37" s="1115"/>
      <c r="H37" s="1118"/>
      <c r="I37" s="1114"/>
      <c r="J37" s="1079"/>
    </row>
    <row r="38" spans="1:10" ht="16.5" customHeight="1" x14ac:dyDescent="0.25">
      <c r="A38" s="1100" t="str">
        <f>IF(B13="нет","-",B13)</f>
        <v>-</v>
      </c>
      <c r="B38" s="1119"/>
      <c r="C38" s="1102">
        <f>IF($B$13&lt;&gt;"нет",1,0)</f>
        <v>0</v>
      </c>
      <c r="D38" s="1120"/>
      <c r="E38" s="1102"/>
      <c r="F38" s="1120"/>
      <c r="G38" s="1102"/>
      <c r="H38" s="1120"/>
      <c r="I38" s="1103"/>
      <c r="J38" s="1079"/>
    </row>
    <row r="39" spans="1:10" ht="16.5" customHeight="1" x14ac:dyDescent="0.25">
      <c r="A39" s="1100" t="str">
        <f>IF(D13="нет","-",D13)</f>
        <v>-</v>
      </c>
      <c r="B39" s="1119"/>
      <c r="C39" s="1102"/>
      <c r="D39" s="1120"/>
      <c r="E39" s="1102">
        <f>IF($D$13&lt;&gt;"нет",1,0)</f>
        <v>0</v>
      </c>
      <c r="F39" s="1120"/>
      <c r="G39" s="1102"/>
      <c r="H39" s="1120"/>
      <c r="I39" s="1103"/>
      <c r="J39" s="1079"/>
    </row>
    <row r="40" spans="1:10" ht="16.5" customHeight="1" x14ac:dyDescent="0.25">
      <c r="A40" s="1100" t="str">
        <f>IF(F13="нет","-",F13)</f>
        <v>-</v>
      </c>
      <c r="B40" s="1119"/>
      <c r="C40" s="1102"/>
      <c r="D40" s="1120"/>
      <c r="E40" s="1102"/>
      <c r="F40" s="1120"/>
      <c r="G40" s="1102">
        <f>IF($F$13&lt;&gt;"нет",1,0)</f>
        <v>0</v>
      </c>
      <c r="H40" s="1120"/>
      <c r="I40" s="1103"/>
      <c r="J40" s="1079"/>
    </row>
    <row r="41" spans="1:10" ht="16.5" customHeight="1" x14ac:dyDescent="0.25">
      <c r="A41" s="1100" t="str">
        <f>IF(H13="нет","-",H13)</f>
        <v>-</v>
      </c>
      <c r="B41" s="1119"/>
      <c r="C41" s="1102"/>
      <c r="D41" s="1120"/>
      <c r="E41" s="1102"/>
      <c r="F41" s="1120"/>
      <c r="G41" s="1102"/>
      <c r="H41" s="1120"/>
      <c r="I41" s="1103">
        <f>IF($H$13&lt;&gt;"нет",1,0)</f>
        <v>0</v>
      </c>
      <c r="J41" s="1079"/>
    </row>
    <row r="42" spans="1:10" ht="16.5" customHeight="1" x14ac:dyDescent="0.25">
      <c r="A42" s="1095" t="s">
        <v>637</v>
      </c>
      <c r="B42" s="1114"/>
      <c r="C42" s="1115"/>
      <c r="D42" s="1116"/>
      <c r="E42" s="1115"/>
      <c r="F42" s="1118"/>
      <c r="G42" s="1115"/>
      <c r="H42" s="1118"/>
      <c r="I42" s="1114"/>
      <c r="J42" s="1079"/>
    </row>
    <row r="43" spans="1:10" ht="16.5" customHeight="1" x14ac:dyDescent="0.25">
      <c r="A43" s="1100" t="str">
        <f>IF(B14="нет","-",B14)</f>
        <v>Откатные 2,0х6,0</v>
      </c>
      <c r="B43" s="1119"/>
      <c r="C43" s="1102">
        <f>IF($B$14&lt;&gt;"нет",1,0)</f>
        <v>1</v>
      </c>
      <c r="D43" s="1120"/>
      <c r="E43" s="1102"/>
      <c r="F43" s="1120"/>
      <c r="G43" s="1102"/>
      <c r="H43" s="1120"/>
      <c r="I43" s="1103"/>
      <c r="J43" s="1079"/>
    </row>
    <row r="44" spans="1:10" ht="16.5" customHeight="1" x14ac:dyDescent="0.25">
      <c r="A44" s="1100" t="str">
        <f>IF(D14="нет","-",D14)</f>
        <v>-</v>
      </c>
      <c r="B44" s="1119"/>
      <c r="C44" s="1102"/>
      <c r="D44" s="1120"/>
      <c r="E44" s="1102">
        <f>IF($D$14&lt;&gt;"нет",1,0)</f>
        <v>0</v>
      </c>
      <c r="F44" s="1120"/>
      <c r="G44" s="1102"/>
      <c r="H44" s="1120"/>
      <c r="I44" s="1103"/>
      <c r="J44" s="1079"/>
    </row>
    <row r="45" spans="1:10" ht="16.5" customHeight="1" x14ac:dyDescent="0.25">
      <c r="A45" s="1100" t="str">
        <f>IF(F14="нет","-",F14)</f>
        <v>-</v>
      </c>
      <c r="B45" s="1119"/>
      <c r="C45" s="1102"/>
      <c r="D45" s="1120"/>
      <c r="E45" s="1102"/>
      <c r="F45" s="1120"/>
      <c r="G45" s="1102">
        <f>IF($F$14&lt;&gt;"нет",1,0)</f>
        <v>0</v>
      </c>
      <c r="H45" s="1120"/>
      <c r="I45" s="1103"/>
      <c r="J45" s="1079"/>
    </row>
    <row r="46" spans="1:10" ht="16.5" customHeight="1" x14ac:dyDescent="0.25">
      <c r="A46" s="1100" t="str">
        <f>IF(H14="нет","-",H14)</f>
        <v>-</v>
      </c>
      <c r="B46" s="1119"/>
      <c r="C46" s="1102"/>
      <c r="D46" s="1120"/>
      <c r="E46" s="1102"/>
      <c r="F46" s="1120"/>
      <c r="G46" s="1102"/>
      <c r="H46" s="1120"/>
      <c r="I46" s="1103">
        <f>IF($H$14&lt;&gt;"нет",1,0)</f>
        <v>0</v>
      </c>
      <c r="J46" s="1079"/>
    </row>
    <row r="47" spans="1:10" ht="16.5" customHeight="1" x14ac:dyDescent="0.25">
      <c r="A47" s="1095" t="s">
        <v>987</v>
      </c>
      <c r="B47" s="1114"/>
      <c r="C47" s="1115"/>
      <c r="D47" s="1121"/>
      <c r="E47" s="1122"/>
      <c r="F47" s="1118"/>
      <c r="G47" s="1115"/>
      <c r="H47" s="1118"/>
      <c r="I47" s="1114"/>
      <c r="J47" s="1079"/>
    </row>
    <row r="48" spans="1:10" ht="16.5" customHeight="1" x14ac:dyDescent="0.25">
      <c r="A48" s="1100" t="str">
        <f>B6</f>
        <v>Ламель Milan</v>
      </c>
      <c r="B48" s="1101" t="str">
        <f>IF(VLOOKUP(B13,Данные1!$A$35:$M$41,4,FALSE)="-","-",VLOOKUP(B13,Данные1!$A$35:$M$41,4,FALSE))</f>
        <v>-</v>
      </c>
      <c r="C48" s="1102">
        <f>IF($B$6="Ламель Milan",VLOOKUP(B13,Данные1!$A$35:$M$41,2,FALSE),VLOOKUP(B13,Данные1!$A$35:$Q$41,17,FALSE))</f>
        <v>0</v>
      </c>
      <c r="D48" s="1101" t="str">
        <f>IF(VLOOKUP(D13,Данные1!$A$35:$M$41,4,FALSE)="-","-",VLOOKUP(D13,Данные1!$A$35:$M$41,4,FALSE))</f>
        <v>-</v>
      </c>
      <c r="E48" s="1102">
        <f>IF($B$6="Ламель Milan",VLOOKUP(D13,Данные1!$A$35:$M$41,2,FALSE),VLOOKUP(D13,Данные1!$A$35:$Q$41,17,FALSE))</f>
        <v>0</v>
      </c>
      <c r="F48" s="1101" t="str">
        <f>IF(VLOOKUP(F13,Данные1!$A$35:$M$41,4,FALSE)="-","-",VLOOKUP(F13,Данные1!$A$35:$M$41,4,FALSE))</f>
        <v>-</v>
      </c>
      <c r="G48" s="1102">
        <f>IF($B$6="Ламель Milan",VLOOKUP(F13,Данные1!$A$35:$M$41,2,FALSE),VLOOKUP(F13,Данные1!$A$35:$Q$41,17,FALSE))</f>
        <v>0</v>
      </c>
      <c r="H48" s="1101" t="str">
        <f>IF(VLOOKUP(H13,Данные1!$A$35:$M$41,4,FALSE)="-","-",VLOOKUP(H13,Данные1!$A$35:$M$41,4,FALSE))</f>
        <v>-</v>
      </c>
      <c r="I48" s="1101">
        <f>IF($B$6="Ламель Milan",VLOOKUP(H13,Данные1!$A$35:$M$41,2,FALSE),VLOOKUP(H13,Данные1!$A$35:$Q$41,17,FALSE))</f>
        <v>0</v>
      </c>
      <c r="J48" s="1079"/>
    </row>
    <row r="49" spans="1:10" ht="16.5" customHeight="1" x14ac:dyDescent="0.25">
      <c r="A49" s="1100" t="str">
        <f>IF(B6="Ламель Milan slim","Стойка slim","Стойка")</f>
        <v>Стойка</v>
      </c>
      <c r="B49" s="1101" t="str">
        <f>IF(AND(VLOOKUP(B13,Данные1!$A$35:$M$41,6,FALSE)&gt;=0.1,VLOOKUP(B13,Данные1!$A$35:$M$41,6,FALSE)&lt;=1.8),1.8,IF(AND(VLOOKUP(B13,Данные1!$A$35:$M$41,6,FALSE)&gt;1.8,VLOOKUP(B13,Данные1!$A$35:$M$41,6,FALSE)&lt;=2),2,IF(AND(VLOOKUP(B13,Данные1!$A$35:$M$41,6,FALSE)&gt;2,VLOOKUP(B13,Данные1!$A$35:$M$41,6,FALSE)&lt;=2.5),2.5,IF(AND(VLOOKUP(B13,Данные1!$A$35:$M$41,6,FALSE)&gt;2.5,VLOOKUP(B13,Данные1!$A$35:$M$41,6,FALSE)&lt;=3),3,"-"))))</f>
        <v>-</v>
      </c>
      <c r="C49" s="1123">
        <f>VLOOKUP(B13,Данные1!$A$35:$M$41,5,FALSE)</f>
        <v>0</v>
      </c>
      <c r="D49" s="1101" t="str">
        <f>IF(AND(VLOOKUP(D13,Данные1!$A$35:$M$41,6,FALSE)&gt;=0.1,VLOOKUP(D13,Данные1!$A$35:$M$41,6,FALSE)&lt;=1.8),1.8,IF(AND(VLOOKUP(D13,Данные1!$A$35:$M$41,6,FALSE)&gt;1.8,VLOOKUP(D13,Данные1!$A$35:$M$41,6,FALSE)&lt;=2),2,IF(AND(VLOOKUP(D13,Данные1!$A$35:$M$41,6,FALSE)&gt;2,VLOOKUP(D13,Данные1!$A$35:$M$41,6,FALSE)&lt;=2.5),2.5,IF(AND(VLOOKUP(D13,Данные1!$A$35:$M$41,6,FALSE)&gt;2.5,VLOOKUP(D13,Данные1!$A$35:$M$41,6,FALSE)&lt;=3),3,"-"))))</f>
        <v>-</v>
      </c>
      <c r="E49" s="1123">
        <f>VLOOKUP(D13,Данные1!$A$35:$M$41,5,FALSE)</f>
        <v>0</v>
      </c>
      <c r="F49" s="1101" t="str">
        <f>IF(AND(VLOOKUP(F13,Данные1!$A$35:$M$41,6,FALSE)&gt;=0.1,VLOOKUP(F13,Данные1!$A$35:$M$41,6,FALSE)&lt;=1.8),1.8,IF(AND(VLOOKUP(F13,Данные1!$A$35:$M$41,6,FALSE)&gt;1.8,VLOOKUP(F13,Данные1!$A$35:$M$41,6,FALSE)&lt;=2),2,IF(AND(VLOOKUP(F13,Данные1!$A$35:$M$41,6,FALSE)&gt;2,VLOOKUP(F13,Данные1!$A$35:$M$41,6,FALSE)&lt;=2.5),2.5,IF(AND(VLOOKUP(F13,Данные1!$A$35:$M$41,6,FALSE)&gt;2.5,VLOOKUP(F13,Данные1!$A$35:$M$41,6,FALSE)&lt;=3),3,"-"))))</f>
        <v>-</v>
      </c>
      <c r="G49" s="1123">
        <f>VLOOKUP(F13,Данные1!$A$35:$M$41,5,FALSE)</f>
        <v>0</v>
      </c>
      <c r="H49" s="1101" t="str">
        <f>IF(AND(VLOOKUP(H13,Данные1!$A$35:$M$41,6,FALSE)&gt;=0.1,VLOOKUP(H13,Данные1!$A$35:$M$41,6,FALSE)&lt;=1.8),1.8,IF(AND(VLOOKUP(H13,Данные1!$A$35:$M$41,6,FALSE)&gt;1.8,VLOOKUP(H13,Данные1!$A$35:$M$41,6,FALSE)&lt;=2),2,IF(AND(VLOOKUP(H13,Данные1!$A$35:$M$41,6,FALSE)&gt;2,VLOOKUP(H13,Данные1!$A$35:$M$41,6,FALSE)&lt;=2.5),2.5,IF(AND(VLOOKUP(H13,Данные1!$A$35:$M$41,6,FALSE)&gt;2.5,VLOOKUP(H13,Данные1!$A$35:$M$41,6,FALSE)&lt;=3),3,"-"))))</f>
        <v>-</v>
      </c>
      <c r="I49" s="1101">
        <f>VLOOKUP(H13,Данные1!$A$35:$M$41,5,FALSE)</f>
        <v>0</v>
      </c>
      <c r="J49" s="1079"/>
    </row>
    <row r="50" spans="1:10" ht="16.5" customHeight="1" x14ac:dyDescent="0.25">
      <c r="A50" s="1100" t="str">
        <f>IF(B6="Ламель Milan slim","Крышка slim","Крышка для калиток и ворот ")</f>
        <v xml:space="preserve">Крышка для калиток и ворот </v>
      </c>
      <c r="B50" s="1101" t="str">
        <f>IF(AND(VLOOKUP(B13,Данные1!$A$35:$M$41,8,FALSE)&gt;=0.5, VLOOKUP(B13,Данные1!$A$35:$M$41,8,FALSE)&lt;=2), 2, IF(AND(VLOOKUP(B13,Данные1!$A$35:$M$41,8,FALSE)&gt;2, VLOOKUP(B13,Данные1!$A$35:$M$41,8,FALSE)&lt;=2.5), 2.5, IF(AND(VLOOKUP(B13,Данные1!$A$35:$M$41,8,FALSE)&gt;2.5, VLOOKUP(B13,Данные1!$A$35:$M$41,8,FALSE)&lt;=3), 3,"-")))</f>
        <v>-</v>
      </c>
      <c r="C50" s="1123">
        <f>VLOOKUP(B13,Данные1!$A$35:$M$41,7,FALSE)</f>
        <v>0</v>
      </c>
      <c r="D50" s="1101" t="str">
        <f>IF(AND(VLOOKUP(D13,Данные1!$A$35:$M$41,8,FALSE)&gt;=0.5, VLOOKUP(D13,Данные1!$A$35:$M$41,8,FALSE)&lt;=2), 2, IF(AND(VLOOKUP(D13,Данные1!$A$35:$M$41,8,FALSE)&gt;2, VLOOKUP(D13,Данные1!$A$35:$M$41,8,FALSE)&lt;=2.5), 2.5, IF(AND(VLOOKUP(D13,Данные1!$A$35:$M$41,8,FALSE)&gt;2.5, VLOOKUP(D13,Данные1!$A$35:$M$41,8,FALSE)&lt;=3), 3,"-")))</f>
        <v>-</v>
      </c>
      <c r="E50" s="1123">
        <f>VLOOKUP(D13,Данные1!$A$35:$M$41,7,FALSE)</f>
        <v>0</v>
      </c>
      <c r="F50" s="1101" t="str">
        <f>IF(AND(VLOOKUP(F13,Данные1!$A$35:$M$41,8,FALSE)&gt;=0.5, VLOOKUP(F13,Данные1!$A$35:$M$41,8,FALSE)&lt;=2), 2, IF(AND(VLOOKUP(F13,Данные1!$A$35:$M$41,8,FALSE)&gt;2, VLOOKUP(F13,Данные1!$A$35:$M$41,8,FALSE)&lt;=2.5), 2.5, IF(AND(VLOOKUP(F13,Данные1!$A$35:$M$41,8,FALSE)&gt;2.5, VLOOKUP(F13,Данные1!$A$35:$M$41,8,FALSE)&lt;=3), 3,"-")))</f>
        <v>-</v>
      </c>
      <c r="G50" s="1123">
        <f>VLOOKUP(F13,Данные1!$A$35:$M$41,7,FALSE)</f>
        <v>0</v>
      </c>
      <c r="H50" s="1101" t="str">
        <f>IF(AND(VLOOKUP(H13,Данные1!$A$35:$M$41,8,FALSE)&gt;=0.5, VLOOKUP(H13,Данные1!$A$35:$M$41,8,FALSE)&lt;=2), 2, IF(AND(VLOOKUP(H13,Данные1!$A$35:$M$41,8,FALSE)&gt;2, VLOOKUP(H13,Данные1!$A$35:$M$41,8,FALSE)&lt;=2.5), 2.5, IF(AND(VLOOKUP(H13,Данные1!$A$35:$M$41,8,FALSE)&gt;2.5, VLOOKUP(H13,Данные1!$A$35:$M$41,8,FALSE)&lt;=3), 3,"-")))</f>
        <v>-</v>
      </c>
      <c r="I50" s="1101">
        <f>VLOOKUP(H13,Данные1!$A$35:$M$41,7,FALSE)</f>
        <v>0</v>
      </c>
      <c r="J50" s="1079"/>
    </row>
    <row r="51" spans="1:10" ht="16.5" customHeight="1" x14ac:dyDescent="0.25">
      <c r="A51" s="1100" t="s">
        <v>981</v>
      </c>
      <c r="B51" s="1101" t="str">
        <f>IF(C51=0,"-","5,5х19")</f>
        <v>-</v>
      </c>
      <c r="C51" s="1102">
        <f>IF(C48=0,0,C49*4+C50*2+(SUM(C54:C56)*4))</f>
        <v>0</v>
      </c>
      <c r="D51" s="1101" t="str">
        <f>IF(E51=0,"-","5,5х19")</f>
        <v>-</v>
      </c>
      <c r="E51" s="1102">
        <f>IF(E48=0,0,E49*4+E50*2+(SUM(E54:E56)*4))</f>
        <v>0</v>
      </c>
      <c r="F51" s="1101" t="str">
        <f>IF(G51=0,"-","5,5х19")</f>
        <v>-</v>
      </c>
      <c r="G51" s="1102">
        <f>IF(G48=0,0,G49*4+G50*2+(SUM(G54:G56)*4))</f>
        <v>0</v>
      </c>
      <c r="H51" s="1101" t="str">
        <f>IF(I51=0,"-","5,5х19")</f>
        <v>-</v>
      </c>
      <c r="I51" s="1101">
        <f>IF(I48=0,0,I49*4+I50*2+(SUM(I54:I56)*4))</f>
        <v>0</v>
      </c>
      <c r="J51" s="1079"/>
    </row>
    <row r="52" spans="1:10" ht="16.5" customHeight="1" x14ac:dyDescent="0.25">
      <c r="A52" s="1100" t="s">
        <v>982</v>
      </c>
      <c r="B52" s="1107" t="str">
        <f>IF(C52=0,"-","4,2x16")</f>
        <v>-</v>
      </c>
      <c r="C52" s="1102">
        <f>IF(C48=0,0,IF(B16="нет",C48*4,0))</f>
        <v>0</v>
      </c>
      <c r="D52" s="1107" t="str">
        <f>IF(E52=0,"-","4,2x16")</f>
        <v>-</v>
      </c>
      <c r="E52" s="1102">
        <f>IF(E48=0,0,IF(D16="нет",E48*4,0))</f>
        <v>0</v>
      </c>
      <c r="F52" s="1107" t="str">
        <f>IF(G52=0,"-","4,2x16")</f>
        <v>-</v>
      </c>
      <c r="G52" s="1102">
        <f>IF(G48=0,0,IF(F16="нет",G48*4,0))</f>
        <v>0</v>
      </c>
      <c r="H52" s="1107" t="str">
        <f>IF(I52=0,"-","4,2x16")</f>
        <v>-</v>
      </c>
      <c r="I52" s="1101">
        <f>IF(I48=0,0,IF(H16="нет",I48*4,0))</f>
        <v>0</v>
      </c>
      <c r="J52" s="1079"/>
    </row>
    <row r="53" spans="1:10" ht="16.5" customHeight="1" x14ac:dyDescent="0.25">
      <c r="A53" s="1100" t="s">
        <v>985</v>
      </c>
      <c r="B53" s="1107"/>
      <c r="C53" s="1102">
        <f>IF(B16="да",C49/2,0)*2</f>
        <v>0</v>
      </c>
      <c r="D53" s="1124"/>
      <c r="E53" s="1102">
        <f>IF(D16="да",E49/2,0)*2</f>
        <v>0</v>
      </c>
      <c r="F53" s="1124"/>
      <c r="G53" s="1102">
        <f>IF(F16="да",G49/2,0)*2</f>
        <v>0</v>
      </c>
      <c r="H53" s="1124"/>
      <c r="I53" s="1101">
        <f>IF(H16="да",I49/2,0)*2</f>
        <v>0</v>
      </c>
      <c r="J53" s="1079"/>
    </row>
    <row r="54" spans="1:10" ht="16.5" customHeight="1" x14ac:dyDescent="0.25">
      <c r="A54" s="1109" t="s">
        <v>988</v>
      </c>
      <c r="B54" s="1101" t="s">
        <v>18</v>
      </c>
      <c r="C54" s="1102">
        <f>VLOOKUP(B13,Данные1!$A$35:$M$41,9,FALSE)</f>
        <v>0</v>
      </c>
      <c r="D54" s="1108" t="s">
        <v>18</v>
      </c>
      <c r="E54" s="1102">
        <f>VLOOKUP(D13,Данные1!$A$35:$M$41,9,FALSE)</f>
        <v>0</v>
      </c>
      <c r="F54" s="1108" t="s">
        <v>18</v>
      </c>
      <c r="G54" s="1102">
        <f>VLOOKUP(F13,Данные1!$A$35:$M$41,9,FALSE)</f>
        <v>0</v>
      </c>
      <c r="H54" s="1108" t="s">
        <v>18</v>
      </c>
      <c r="I54" s="1103">
        <f>VLOOKUP(H13,Данные1!$A$35:$M$41,9,FALSE)</f>
        <v>0</v>
      </c>
      <c r="J54" s="1079"/>
    </row>
    <row r="55" spans="1:10" ht="16.5" customHeight="1" x14ac:dyDescent="0.25">
      <c r="A55" s="1109" t="s">
        <v>989</v>
      </c>
      <c r="B55" s="1101" t="s">
        <v>18</v>
      </c>
      <c r="C55" s="1102">
        <f>VLOOKUP(B13,Данные1!$A$35:$M$41,10,FALSE)</f>
        <v>0</v>
      </c>
      <c r="D55" s="1108" t="s">
        <v>18</v>
      </c>
      <c r="E55" s="1102">
        <f>VLOOKUP(D13,Данные1!$A$35:$M$41,10,FALSE)</f>
        <v>0</v>
      </c>
      <c r="F55" s="1108" t="s">
        <v>18</v>
      </c>
      <c r="G55" s="1102">
        <f>VLOOKUP(F13,Данные1!$A$35:$M$41,10,FALSE)</f>
        <v>0</v>
      </c>
      <c r="H55" s="1108" t="s">
        <v>18</v>
      </c>
      <c r="I55" s="1103">
        <f>VLOOKUP(H13,Данные1!$A$35:$M$41,10,FALSE)</f>
        <v>0</v>
      </c>
      <c r="J55" s="1079"/>
    </row>
    <row r="56" spans="1:10" ht="16.5" customHeight="1" x14ac:dyDescent="0.25">
      <c r="A56" s="1109" t="s">
        <v>990</v>
      </c>
      <c r="B56" s="1101" t="s">
        <v>18</v>
      </c>
      <c r="C56" s="1102">
        <f>VLOOKUP(B13,Данные1!$A$35:$M$41,11,FALSE)</f>
        <v>0</v>
      </c>
      <c r="D56" s="1108" t="s">
        <v>18</v>
      </c>
      <c r="E56" s="1102">
        <f>VLOOKUP(D13,Данные1!$A$35:$M$41,11,FALSE)</f>
        <v>0</v>
      </c>
      <c r="F56" s="1108" t="s">
        <v>18</v>
      </c>
      <c r="G56" s="1102">
        <f>VLOOKUP(F13,Данные1!$A$35:$M$41,11,FALSE)</f>
        <v>0</v>
      </c>
      <c r="H56" s="1108" t="s">
        <v>18</v>
      </c>
      <c r="I56" s="1103">
        <f>VLOOKUP(H13,Данные1!$A$35:$M$41,11,FALSE)</f>
        <v>0</v>
      </c>
      <c r="J56" s="1079"/>
    </row>
    <row r="57" spans="1:10" ht="16.5" customHeight="1" x14ac:dyDescent="0.25">
      <c r="A57" s="1109" t="s">
        <v>991</v>
      </c>
      <c r="B57" s="1101" t="str">
        <f>B48</f>
        <v>-</v>
      </c>
      <c r="C57" s="1102">
        <f>IFERROR(IF($B$6="Ламель Milan",VLOOKUP(A38,Данные1!$A$35:$P$41,15,FALSE),VLOOKUP(A38,Данные1!$A$35:$P$41,16,FALSE)),0)</f>
        <v>0</v>
      </c>
      <c r="D57" s="1101" t="str">
        <f>D48</f>
        <v>-</v>
      </c>
      <c r="E57" s="1102">
        <f>IFERROR(IF($B$6="Ламель Milan",VLOOKUP(A39,Данные1!$A$35:$P$41,15,FALSE),VLOOKUP(A39,Данные1!$A$35:$P$41,16,FALSE)),0)</f>
        <v>0</v>
      </c>
      <c r="F57" s="1101" t="str">
        <f>F48</f>
        <v>-</v>
      </c>
      <c r="G57" s="1102">
        <f>IFERROR(IF($B$6="Ламель Milan",VLOOKUP(A40,Данные1!$A$35:$P$41,15,FALSE),VLOOKUP(A40,Данные1!$A$35:$P$41,16,FALSE)),0)</f>
        <v>0</v>
      </c>
      <c r="H57" s="1101" t="str">
        <f>H48</f>
        <v>-</v>
      </c>
      <c r="I57" s="1101">
        <f>IFERROR(IF($B$6="Ламель Milan",VLOOKUP(A41,Данные1!$A$35:$P$41,15,FALSE),VLOOKUP(A41,Данные1!$A$35:$P$41,16,FALSE)),0)</f>
        <v>0</v>
      </c>
      <c r="J57" s="1079"/>
    </row>
    <row r="58" spans="1:10" ht="16.5" customHeight="1" x14ac:dyDescent="0.25">
      <c r="A58" s="1095" t="s">
        <v>992</v>
      </c>
      <c r="B58" s="1114"/>
      <c r="C58" s="1115"/>
      <c r="D58" s="1118"/>
      <c r="E58" s="1115"/>
      <c r="F58" s="1118"/>
      <c r="G58" s="1115"/>
      <c r="H58" s="1118"/>
      <c r="I58" s="1114"/>
      <c r="J58" s="1079"/>
    </row>
    <row r="59" spans="1:10" ht="16.5" customHeight="1" x14ac:dyDescent="0.25">
      <c r="A59" s="1100" t="str">
        <f>B6</f>
        <v>Ламель Milan</v>
      </c>
      <c r="B59" s="1101">
        <f>IF(C59=0,"-",IF($B$6="Ламель Milan",VLOOKUP(B14,Данные1!$A$43:$M$59,4,FALSE),VLOOKUP(B14,Данные1!$A$43:$AC$59,27,FALSE)))</f>
        <v>1.91</v>
      </c>
      <c r="C59" s="1102">
        <f>IF($B$6="Ламель Milan",VLOOKUP(B14,Данные1!$A$43:$M$59,2,FALSE),VLOOKUP(B14,Данные1!$A$43:$AC$59,26,FALSE))</f>
        <v>45</v>
      </c>
      <c r="D59" s="1101" t="str">
        <f>IF(E59=0,"-",IF($B$6="Ламель Milan",VLOOKUP(D14,Данные1!$A$43:$M$59,4,FALSE),VLOOKUP(D14,Данные1!$A$43:$AC$59,27,FALSE)))</f>
        <v>-</v>
      </c>
      <c r="E59" s="1102">
        <f>IF($B$6="Ламель Milan",VLOOKUP(D14,Данные1!$A$43:$M$59,2,FALSE),VLOOKUP(D14,Данные1!$A$43:$AC$59,26,FALSE))</f>
        <v>0</v>
      </c>
      <c r="F59" s="1101" t="str">
        <f>IF(G59=0,"-",IF($B$6="Ламель Milan",VLOOKUP(F14,Данные1!$A$43:$M$59,4,FALSE),VLOOKUP(F14,Данные1!$A$43:$AC$59,27,FALSE)))</f>
        <v>-</v>
      </c>
      <c r="G59" s="1102">
        <f>IF($B$6="Ламель Milan",VLOOKUP(F14,Данные1!$A$43:$M$59,2,FALSE),VLOOKUP(F14,Данные1!$A$43:$AC$59,26,FALSE))</f>
        <v>0</v>
      </c>
      <c r="H59" s="1101" t="str">
        <f>IF(I59=0,"-",IF($B$6="Ламель Milan",VLOOKUP(H14,Данные1!$A$43:$M$59,4,FALSE),VLOOKUP(H14,Данные1!$A$43:$AC$59,27,FALSE)))</f>
        <v>-</v>
      </c>
      <c r="I59" s="1103">
        <f>IF($B$6="Ламель Milan",VLOOKUP(H14,Данные1!$A$43:$M$59,2,FALSE),VLOOKUP(H14,Данные1!$A$43:$AC$59,26,FALSE))</f>
        <v>0</v>
      </c>
      <c r="J59" s="1079"/>
    </row>
    <row r="60" spans="1:10" ht="16.5" customHeight="1" x14ac:dyDescent="0.25">
      <c r="A60" s="1100" t="str">
        <f>B6</f>
        <v>Ламель Milan</v>
      </c>
      <c r="B60" s="1101" t="str">
        <f>IF(C60=0,"-",IF($B$6="Ламель Milan",VLOOKUP(B14,Данные1!$A$43:$R$59,16,FALSE),VLOOKUP(B14,Данные1!$A$43:$AC$59,29,FALSE)))</f>
        <v>-</v>
      </c>
      <c r="C60" s="1102">
        <f>IF($B$6="Ламель Milan",VLOOKUP(B14,Данные1!$A$43:$AC$59,14,FALSE),VLOOKUP(B14,Данные1!$A$43:$AC$59,28,FALSE))</f>
        <v>0</v>
      </c>
      <c r="D60" s="1101" t="str">
        <f>IF(E60=0,"-",IF($B$6="Ламель Milan",VLOOKUP(D14,Данные1!$A$43:$R$59,16,FALSE),VLOOKUP(D14,Данные1!$A$43:$AC$59,29,FALSE)))</f>
        <v>-</v>
      </c>
      <c r="E60" s="1102">
        <f>IF($B$6="Ламель Milan",VLOOKUP(D14,Данные1!$A$43:$AC$59,14,FALSE),VLOOKUP(D14,Данные1!$A$43:$AC$59,28,FALSE))</f>
        <v>0</v>
      </c>
      <c r="F60" s="1101" t="str">
        <f>IF(G60=0,"-",IF($B$6="Ламель Milan",VLOOKUP(F14,Данные1!$A$43:$R$59,16,FALSE),VLOOKUP(F14,Данные1!$A$43:$AC$59,29,FALSE)))</f>
        <v>-</v>
      </c>
      <c r="G60" s="1102">
        <f>IF($B$6="Ламель Milan",VLOOKUP(F14,Данные1!$A$43:$AC$59,14,FALSE),VLOOKUP(F14,Данные1!$A$43:$AC$59,28,FALSE))</f>
        <v>0</v>
      </c>
      <c r="H60" s="1101" t="str">
        <f>IF(I60=0,"-",IF($B$6="Ламель Milan",VLOOKUP(H14,Данные1!$A$43:$R$59,16,FALSE),VLOOKUP(H14,Данные1!$A$43:$AC$59,29,FALSE)))</f>
        <v>-</v>
      </c>
      <c r="I60" s="1103">
        <f>IF($B$6="Ламель Milan",VLOOKUP(H14,Данные1!$A$43:$AC$59,14,FALSE),VLOOKUP(H14,Данные1!$A$43:$AC$59,28,FALSE))</f>
        <v>0</v>
      </c>
      <c r="J60" s="1079"/>
    </row>
    <row r="61" spans="1:10" ht="16.5" customHeight="1" x14ac:dyDescent="0.25">
      <c r="A61" s="1100" t="str">
        <f>IF(B6="Ламель Milan slim","Стойка slim","Стойка")</f>
        <v>Стойка</v>
      </c>
      <c r="B61" s="1101">
        <f>IF(B14="нет","-",IF(AND(VLOOKUP(B14,Данные1!$A$43:$M$59,6,FALSE)&gt;=0.1, VLOOKUP(B14,Данные1!$A$43:$M$59,6,FALSE)&lt;=1.8), 1.8, IF(AND(VLOOKUP(B14,Данные1!$A$43:$M$59,6,FALSE)&gt;1.8, VLOOKUP(B14,Данные1!$A$43:$M$59,6,FALSE)&lt;=2), 2, IF(AND(VLOOKUP(B14,Данные1!$A$43:$M$59,6,FALSE)&gt;2, VLOOKUP(B14,Данные1!$A$43:$M$59,6,FALSE)&lt;=2.5), 2.5, IF(AND(VLOOKUP(B14,Данные1!$A$43:$M$59,6,FALSE)&gt;2.5, VLOOKUP(B14,Данные1!$A$43:$M$59,6,FALSE)&lt;=3), 3, "-")))))</f>
        <v>1.8</v>
      </c>
      <c r="C61" s="1102">
        <f>VLOOKUP(B14,Данные1!$A$43:$M$59,5,FALSE)</f>
        <v>6</v>
      </c>
      <c r="D61" s="1101" t="str">
        <f>IF(D14="нет","-",IF(AND(VLOOKUP(D14,Данные1!$A$43:$M$59,6,FALSE)&gt;=0.1, VLOOKUP(D14,Данные1!$A$43:$M$59,6,FALSE)&lt;=1.8), 1.8, IF(AND(VLOOKUP(D14,Данные1!$A$43:$M$59,6,FALSE)&gt;1.8, VLOOKUP(D14,Данные1!$A$43:$M$59,6,FALSE)&lt;=2), 2, IF(AND(VLOOKUP(D14,Данные1!$A$43:$M$59,6,FALSE)&gt;2, VLOOKUP(D14,Данные1!$A$43:$M$59,6,FALSE)&lt;=2.5), 2.5, IF(AND(VLOOKUP(D14,Данные1!$A$43:$M$59,6,FALSE)&gt;2.5, VLOOKUP(D14,Данные1!$A$43:$M$59,6,FALSE)&lt;=3), 3, "-")))))</f>
        <v>-</v>
      </c>
      <c r="E61" s="1102">
        <f>VLOOKUP(D14,Данные1!$A$43:$M$59,5,FALSE)</f>
        <v>0</v>
      </c>
      <c r="F61" s="1101" t="str">
        <f>IF(F14="нет","-",IF(AND(VLOOKUP(F14,Данные1!$A$43:$M$59,6,FALSE)&gt;=0.1, VLOOKUP(F14,Данные1!$A$43:$M$59,6,FALSE)&lt;=1.8), 1.8, IF(AND(VLOOKUP(F14,Данные1!$A$43:$M$59,6,FALSE)&gt;1.8, VLOOKUP(F14,Данные1!$A$43:$M$59,6,FALSE)&lt;=2), 2, IF(AND(VLOOKUP(F14,Данные1!$A$43:$M$59,6,FALSE)&gt;2, VLOOKUP(F14,Данные1!$A$43:$M$59,6,FALSE)&lt;=2.5), 2.5, IF(AND(VLOOKUP(F14,Данные1!$A$43:$M$59,6,FALSE)&gt;2.5, VLOOKUP(F14,Данные1!$A$43:$M$59,6,FALSE)&lt;=3), 3, "-")))))</f>
        <v>-</v>
      </c>
      <c r="G61" s="1102">
        <f>VLOOKUP(F14,Данные1!$A$43:$M$59,5,FALSE)</f>
        <v>0</v>
      </c>
      <c r="H61" s="1101" t="str">
        <f>IF(H14="нет","-",IF(AND(VLOOKUP(H14,Данные1!$A$43:$M$59,6,FALSE)&gt;=0.1, VLOOKUP(H14,Данные1!$A$43:$M$59,6,FALSE)&lt;=1.8), 1.8, IF(AND(VLOOKUP(H14,Данные1!$A$43:$M$59,6,FALSE)&gt;1.8, VLOOKUP(H14,Данные1!$A$43:$M$59,6,FALSE)&lt;=2), 2, IF(AND(VLOOKUP(H14,Данные1!$A$43:$M$59,6,FALSE)&gt;2, VLOOKUP(H14,Данные1!$A$43:$M$59,6,FALSE)&lt;=2.5), 2.5, IF(AND(VLOOKUP(H14,Данные1!$A$43:$M$59,6,FALSE)&gt;2.5, VLOOKUP(H14,Данные1!$A$43:$M$59,6,FALSE)&lt;=3), 3, "-")))))</f>
        <v>-</v>
      </c>
      <c r="I61" s="1103">
        <f>VLOOKUP(H14,Данные1!$A$43:$M$59,5,FALSE)</f>
        <v>0</v>
      </c>
      <c r="J61" s="1079"/>
    </row>
    <row r="62" spans="1:10" ht="16.5" customHeight="1" x14ac:dyDescent="0.25">
      <c r="A62" s="1100" t="str">
        <f>IF(B6="Ламель Milan slim","Крышка slim","Крышка для калиток и ворот")</f>
        <v>Крышка для калиток и ворот</v>
      </c>
      <c r="B62" s="1101">
        <f>IF(AND(VLOOKUP(B14,Данные1!$A$43:$M$59,8,FALSE)&gt;=0.5, VLOOKUP(B14,Данные1!$A$43:$M$59,8,FALSE)&lt;=2), 2, IF(AND(VLOOKUP(B14,Данные1!$A$43:$M$59,8,FALSE)&gt;2, VLOOKUP(B14,Данные1!$A$43:$M$59,8,FALSE)&lt;=2.5), 2.5, IF(AND(VLOOKUP(B14,Данные1!$A$43:$M$59,8,FALSE)&gt;2.5, VLOOKUP(B14,Данные1!$A$43:$M$59,8,FALSE)&lt;=3), 3,"-")))</f>
        <v>2</v>
      </c>
      <c r="C62" s="1102">
        <f>VLOOKUP(B14,Данные1!$A$43:$M$59,7,FALSE)</f>
        <v>3</v>
      </c>
      <c r="D62" s="1101" t="str">
        <f>IF(AND(VLOOKUP(D14,Данные1!$A$43:$M$59,8,FALSE)&gt;=0.5, VLOOKUP(D14,Данные1!$A$43:$M$59,8,FALSE)&lt;=2), 2, IF(AND(VLOOKUP(D14,Данные1!$A$43:$M$59,8,FALSE)&gt;2, VLOOKUP(D14,Данные1!$A$43:$M$59,8,FALSE)&lt;=2.5), 2.5, IF(AND(VLOOKUP(D14,Данные1!$A$43:$M$59,8,FALSE)&gt;2.5, VLOOKUP(D14,Данные1!$A$43:$M$59,8,FALSE)&lt;=3), 3,"-")))</f>
        <v>-</v>
      </c>
      <c r="E62" s="1102">
        <f>VLOOKUP(D14,Данные1!$A$43:$M$59,7,FALSE)</f>
        <v>0</v>
      </c>
      <c r="F62" s="1101" t="str">
        <f>IF(AND(VLOOKUP(F14,Данные1!$A$43:$M$59,8,FALSE)&gt;=0.5, VLOOKUP(F14,Данные1!$A$43:$M$59,8,FALSE)&lt;=2), 2, IF(AND(VLOOKUP(F14,Данные1!$A$43:$M$59,8,FALSE)&gt;2, VLOOKUP(F14,Данные1!$A$43:$M$59,8,FALSE)&lt;=2.5), 2.5, IF(AND(VLOOKUP(F14,Данные1!$A$43:$M$59,8,FALSE)&gt;2.5, VLOOKUP(F14,Данные1!$A$43:$M$59,8,FALSE)&lt;=3), 3,"-")))</f>
        <v>-</v>
      </c>
      <c r="G62" s="1102">
        <f>VLOOKUP(F14,Данные1!$A$43:$M$59,7,FALSE)</f>
        <v>0</v>
      </c>
      <c r="H62" s="1101" t="str">
        <f>IF(AND(VLOOKUP(H14,Данные1!$A$43:$M$59,8,FALSE)&gt;=0.5, VLOOKUP(H14,Данные1!$A$43:$M$59,8,FALSE)&lt;=2), 2, IF(AND(VLOOKUP(H14,Данные1!$A$43:$M$59,8,FALSE)&gt;2, VLOOKUP(H14,Данные1!$A$43:$M$59,8,FALSE)&lt;=2.5), 2.5, IF(AND(VLOOKUP(H14,Данные1!$A$43:$M$59,8,FALSE)&gt;2.5, VLOOKUP(H14,Данные1!$A$43:$M$59,8,FALSE)&lt;=3), 3,"-")))</f>
        <v>-</v>
      </c>
      <c r="I62" s="1103">
        <f>VLOOKUP(H14,Данные1!$A$43:$M$59,7,FALSE)</f>
        <v>0</v>
      </c>
      <c r="J62" s="1079"/>
    </row>
    <row r="63" spans="1:10" ht="16.5" customHeight="1" x14ac:dyDescent="0.25">
      <c r="A63" s="1100" t="str">
        <f>IF(B6="Ламель Milan slim","Крышка slim","Крышка для калиток и ворот")</f>
        <v>Крышка для калиток и ворот</v>
      </c>
      <c r="B63" s="1101" t="str">
        <f>IF(C63=0,"-",IF(AND(VLOOKUP(B14,Данные1!$A$43:$R$59,18,FALSE)&gt;=0.5, VLOOKUP(B14,Данные1!$A$43:$R$59,18,FALSE)&lt;=2), 2, IF(AND(VLOOKUP(B14,Данные1!$A$43:$R$59,18,FALSE)&gt;2, VLOOKUP(B14,Данные1!$A$43:$R$59,18,FALSE)&lt;=2.5), 2.5, IF(AND(VLOOKUP(B14,Данные1!$A$43:$R$59,18,FALSE)&gt;2.5, VLOOKUP(B14,Данные1!$A$43:$R$59,18,FALSE)&lt;=3), 3,"-"))))</f>
        <v>-</v>
      </c>
      <c r="C63" s="1102">
        <f>VLOOKUP(B14,Данные1!$A$43:$R$59,17,FALSE)</f>
        <v>0</v>
      </c>
      <c r="D63" s="1101" t="str">
        <f>IF(E63=0,"-",IF(AND(VLOOKUP(D14,Данные1!$A$43:$R$59,18,FALSE)&gt;=0.5, VLOOKUP(D14,Данные1!$A$43:$R$59,18,FALSE)&lt;=2), 2, IF(AND(VLOOKUP(D14,Данные1!$A$43:$R$59,18,FALSE)&gt;2, VLOOKUP(D14,Данные1!$A$43:$R$59,18,FALSE)&lt;=2.5), 2.5, IF(AND(VLOOKUP(D14,Данные1!$A$43:$R$59,18,FALSE)&gt;2.5, VLOOKUP(D14,Данные1!$A$43:$R$59,18,FALSE)&lt;=3), 3,"-"))))</f>
        <v>-</v>
      </c>
      <c r="E63" s="1102">
        <f>VLOOKUP(D14,Данные1!$A$43:$R$59,17,FALSE)</f>
        <v>0</v>
      </c>
      <c r="F63" s="1101" t="str">
        <f>IF(G63=0,"-",IF(AND(VLOOKUP(F14,Данные1!$A$43:$R$59,18,FALSE)&gt;=0.5, VLOOKUP(F14,Данные1!$A$43:$R$59,18,FALSE)&lt;=2), 2, IF(AND(VLOOKUP(F14,Данные1!$A$43:$R$59,18,FALSE)&gt;2, VLOOKUP(F14,Данные1!$A$43:$R$59,18,FALSE)&lt;=2.5), 2.5, IF(AND(VLOOKUP(F14,Данные1!$A$43:$R$59,18,FALSE)&gt;2.5, VLOOKUP(F14,Данные1!$A$43:$R$59,18,FALSE)&lt;=3), 3,"-"))))</f>
        <v>-</v>
      </c>
      <c r="G63" s="1102">
        <f>VLOOKUP(F14,Данные1!$A$43:$R$59,17,FALSE)</f>
        <v>0</v>
      </c>
      <c r="H63" s="1101" t="str">
        <f>IF(I63=0,"-",IF(AND(VLOOKUP(H14,Данные1!$A$43:$R$59,18,FALSE)&gt;=0.5, VLOOKUP(H14,Данные1!$A$43:$R$59,18,FALSE)&lt;=2), 2, IF(AND(VLOOKUP(H14,Данные1!$A$43:$R$59,18,FALSE)&gt;2, VLOOKUP(H14,Данные1!$A$43:$R$59,18,FALSE)&lt;=2.5), 2.5, IF(AND(VLOOKUP(H14,Данные1!$A$43:$R$59,18,FALSE)&gt;2.5, VLOOKUP(H14,Данные1!$A$43:$R$59,18,FALSE)&lt;=3), 3,"-"))))</f>
        <v>-</v>
      </c>
      <c r="I63" s="1103">
        <f>VLOOKUP(H14,Данные1!$A$43:$R$59,17,FALSE)</f>
        <v>0</v>
      </c>
      <c r="J63" s="1079"/>
    </row>
    <row r="64" spans="1:10" ht="16.5" customHeight="1" x14ac:dyDescent="0.25">
      <c r="A64" s="1100" t="s">
        <v>981</v>
      </c>
      <c r="B64" s="1101" t="str">
        <f>IF(C64=0,"-","5,5х19")</f>
        <v>5,5х19</v>
      </c>
      <c r="C64" s="1102">
        <f>C61*4+(C62+C63)*4</f>
        <v>36</v>
      </c>
      <c r="D64" s="1101" t="str">
        <f>IF(E64=0,"-","5,5х19")</f>
        <v>-</v>
      </c>
      <c r="E64" s="1102">
        <f>E61*4+(E62+E63)*4</f>
        <v>0</v>
      </c>
      <c r="F64" s="1101" t="str">
        <f>IF(G64=0,"-","5,5х19")</f>
        <v>-</v>
      </c>
      <c r="G64" s="1102">
        <f>G61*4+(G62+G63)*4</f>
        <v>0</v>
      </c>
      <c r="H64" s="1101" t="str">
        <f>IF(I64=0,"-","5,5х19")</f>
        <v>-</v>
      </c>
      <c r="I64" s="1103">
        <f>I61*4+(I62+I63)*4</f>
        <v>0</v>
      </c>
      <c r="J64" s="1079"/>
    </row>
    <row r="65" spans="1:10" ht="16.5" customHeight="1" x14ac:dyDescent="0.25">
      <c r="A65" s="1100" t="s">
        <v>982</v>
      </c>
      <c r="B65" s="1107" t="str">
        <f>IF(C65=0,"-","4,2x16")</f>
        <v>4,2x16</v>
      </c>
      <c r="C65" s="1102">
        <f>IF(C69&gt;0,(C59+C60)*C70,(C59+C60)*4+(C59+C60)*C70)</f>
        <v>270</v>
      </c>
      <c r="D65" s="1107" t="str">
        <f>IF(E65=0,"-","4,2x16")</f>
        <v>-</v>
      </c>
      <c r="E65" s="1102">
        <f>IF(E69&gt;0,(E59+E60)*E70,(E59+E60)*4+(E59+E60)*E70)</f>
        <v>0</v>
      </c>
      <c r="F65" s="1107" t="str">
        <f>IF(G65=0,"-","4,2x16")</f>
        <v>-</v>
      </c>
      <c r="G65" s="1102">
        <f>IF(G69&gt;0,(G59+G60)*G70,(G59+G60)*4+(G59+G60)*G70)</f>
        <v>0</v>
      </c>
      <c r="H65" s="1107" t="str">
        <f>IF(I65=0,"-","4,2x16")</f>
        <v>-</v>
      </c>
      <c r="I65" s="1103">
        <f>IF(I69&gt;0,(I59+I60)*I70,(I59+I60)*4+(I59+I60)*I70)</f>
        <v>0</v>
      </c>
      <c r="J65" s="1079"/>
    </row>
    <row r="66" spans="1:10" ht="16.5" customHeight="1" x14ac:dyDescent="0.25">
      <c r="A66" s="1109" t="s">
        <v>988</v>
      </c>
      <c r="B66" s="1101" t="s">
        <v>18</v>
      </c>
      <c r="C66" s="1102">
        <f>VLOOKUP(B14,Данные1!$A$43:$M$59,9,FALSE)</f>
        <v>0</v>
      </c>
      <c r="D66" s="1101" t="s">
        <v>18</v>
      </c>
      <c r="E66" s="1102">
        <f>VLOOKUP(D14,Данные1!$A$43:$M$59,9,FALSE)</f>
        <v>0</v>
      </c>
      <c r="F66" s="1101" t="s">
        <v>18</v>
      </c>
      <c r="G66" s="1102">
        <f>VLOOKUP(F14,Данные1!$A$43:$M$59,9,FALSE)</f>
        <v>0</v>
      </c>
      <c r="H66" s="1101" t="s">
        <v>18</v>
      </c>
      <c r="I66" s="1103">
        <f>VLOOKUP(H14,Данные1!$A$43:$M$59,9,FALSE)</f>
        <v>0</v>
      </c>
      <c r="J66" s="1079"/>
    </row>
    <row r="67" spans="1:10" ht="16.5" customHeight="1" x14ac:dyDescent="0.25">
      <c r="A67" s="1109" t="s">
        <v>989</v>
      </c>
      <c r="B67" s="1101" t="s">
        <v>18</v>
      </c>
      <c r="C67" s="1102">
        <f>VLOOKUP(B14,Данные1!$A$43:$M$59,10,FALSE)</f>
        <v>0</v>
      </c>
      <c r="D67" s="1101" t="s">
        <v>18</v>
      </c>
      <c r="E67" s="1102">
        <f>VLOOKUP(D14,Данные1!$A$43:$M$59,10,FALSE)</f>
        <v>0</v>
      </c>
      <c r="F67" s="1101" t="s">
        <v>18</v>
      </c>
      <c r="G67" s="1102">
        <f>VLOOKUP(F14,Данные1!$A$43:$M$59,10,FALSE)</f>
        <v>0</v>
      </c>
      <c r="H67" s="1101" t="s">
        <v>18</v>
      </c>
      <c r="I67" s="1103">
        <f>VLOOKUP(H14,Данные1!$A$43:$M$59,10,FALSE)</f>
        <v>0</v>
      </c>
      <c r="J67" s="1079"/>
    </row>
    <row r="68" spans="1:10" ht="16.5" customHeight="1" x14ac:dyDescent="0.25">
      <c r="A68" s="1109" t="s">
        <v>990</v>
      </c>
      <c r="B68" s="1101" t="s">
        <v>18</v>
      </c>
      <c r="C68" s="1102">
        <f>VLOOKUP(B14,Данные1!$A$43:$M$59,11,FALSE)</f>
        <v>0</v>
      </c>
      <c r="D68" s="1101" t="s">
        <v>18</v>
      </c>
      <c r="E68" s="1102">
        <f>VLOOKUP(D14,Данные1!$A$43:$M$59,11,FALSE)</f>
        <v>0</v>
      </c>
      <c r="F68" s="1101" t="s">
        <v>18</v>
      </c>
      <c r="G68" s="1102">
        <f>VLOOKUP(F14,Данные1!$A$43:$M$59,11,FALSE)</f>
        <v>0</v>
      </c>
      <c r="H68" s="1101" t="s">
        <v>18</v>
      </c>
      <c r="I68" s="1103">
        <f>VLOOKUP(H14,Данные1!$A$43:$M$59,11,FALSE)</f>
        <v>0</v>
      </c>
      <c r="J68" s="1079"/>
    </row>
    <row r="69" spans="1:10" ht="16.5" customHeight="1" x14ac:dyDescent="0.25">
      <c r="A69" s="1100" t="s">
        <v>985</v>
      </c>
      <c r="B69" s="1101"/>
      <c r="C69" s="1102">
        <f>IF(B16="нет",0,C61/2)*2</f>
        <v>0</v>
      </c>
      <c r="D69" s="1101"/>
      <c r="E69" s="1102">
        <f>IF(D16="нет",0,E61/2)*2</f>
        <v>0</v>
      </c>
      <c r="F69" s="1101"/>
      <c r="G69" s="1102">
        <f>IF(F16="нет",0,G61/2)*2</f>
        <v>0</v>
      </c>
      <c r="H69" s="1101"/>
      <c r="I69" s="1103">
        <f>IF(H16="нет",0,I61/2)*2</f>
        <v>0</v>
      </c>
      <c r="J69" s="1079"/>
    </row>
    <row r="70" spans="1:10" ht="16.5" customHeight="1" x14ac:dyDescent="0.25">
      <c r="A70" s="1100" t="s">
        <v>978</v>
      </c>
      <c r="B70" s="1101">
        <f>B61</f>
        <v>1.8</v>
      </c>
      <c r="C70" s="1102">
        <f>IF(SUM(C43:C46)=0,0,SUM(C43:C46)+1)</f>
        <v>2</v>
      </c>
      <c r="D70" s="1101" t="str">
        <f>D61</f>
        <v>-</v>
      </c>
      <c r="E70" s="1102">
        <f>IF(SUM(E43:E46)=0,0,SUM(E43:E46)+1)</f>
        <v>0</v>
      </c>
      <c r="F70" s="1101" t="str">
        <f>F61</f>
        <v>-</v>
      </c>
      <c r="G70" s="1102">
        <f>IF(SUM(G43:G46)=0,0,SUM(G43:G46)+1)</f>
        <v>0</v>
      </c>
      <c r="H70" s="1101" t="str">
        <f>H61</f>
        <v>-</v>
      </c>
      <c r="I70" s="1103">
        <f>IF(SUM(I43:I46)=0,0,SUM(I43:I46)+1)</f>
        <v>0</v>
      </c>
      <c r="J70" s="1079"/>
    </row>
    <row r="71" spans="1:10" ht="16.5" customHeight="1" x14ac:dyDescent="0.25">
      <c r="A71" s="1109" t="s">
        <v>991</v>
      </c>
      <c r="B71" s="1101">
        <f>B59</f>
        <v>1.91</v>
      </c>
      <c r="C71" s="1102">
        <f>IFERROR(IF($B$6="Ламель Milan",VLOOKUP($A$43,Данные1!$A$43:$AC$59,22,FALSE),VLOOKUP($A$43,Данные1!$A$43:$AC$59,24,FALSE)),0)</f>
        <v>3</v>
      </c>
      <c r="D71" s="1101" t="str">
        <f>D59</f>
        <v>-</v>
      </c>
      <c r="E71" s="1102">
        <f>IFERROR(IF($B$6="Ламель Milan",VLOOKUP($A$44,Данные1!$A$43:$AC$59,22,FALSE),VLOOKUP($A$44,Данные1!$A$43:$AC$59,24,FALSE)),0)</f>
        <v>0</v>
      </c>
      <c r="F71" s="1101" t="str">
        <f>F59</f>
        <v>-</v>
      </c>
      <c r="G71" s="1102">
        <f>IFERROR(IF($B$6="Ламель Milan",VLOOKUP($A$45,Данные1!$A$43:$AC$59,22,FALSE),VLOOKUP($A$45,Данные1!$A$43:$AC$59,24,FALSE)),0)</f>
        <v>0</v>
      </c>
      <c r="H71" s="1101" t="str">
        <f>H59</f>
        <v>-</v>
      </c>
      <c r="I71" s="1103">
        <f>IFERROR(IF($B$6="Ламель Milan",VLOOKUP($A$46,Данные1!$A$43:$AC$59,22,FALSE),VLOOKUP($A$46,Данные1!$A$43:$AC$59,24,FALSE)),0)</f>
        <v>0</v>
      </c>
      <c r="J71" s="1079"/>
    </row>
    <row r="72" spans="1:10" ht="16.5" customHeight="1" x14ac:dyDescent="0.25">
      <c r="A72" s="1109" t="s">
        <v>991</v>
      </c>
      <c r="B72" s="1101" t="str">
        <f>B60</f>
        <v>-</v>
      </c>
      <c r="C72" s="1102">
        <f>IFERROR(IF($B$6="Ламель Milan",VLOOKUP($A$43,Данные1!$A$43:$AC$59,23,FALSE),VLOOKUP($A$43,Данные1!$A$43:$AC$59,25,FALSE)),0)</f>
        <v>0</v>
      </c>
      <c r="D72" s="1101" t="str">
        <f>D60</f>
        <v>-</v>
      </c>
      <c r="E72" s="1102">
        <f>IFERROR(IF($B$6="Ламель Milan",VLOOKUP($A$44,Данные1!$A$43:$AC$59,23,FALSE),VLOOKUP($A$44,Данные1!$A$43:$AC$59,25,FALSE)),0)</f>
        <v>0</v>
      </c>
      <c r="F72" s="1101" t="str">
        <f>F60</f>
        <v>-</v>
      </c>
      <c r="G72" s="1102">
        <f>IFERROR(IF($B$6="Ламель Milan",VLOOKUP($A$45,Данные1!$A$43:$AC$59,23,FALSE),VLOOKUP($A$45,Данные1!$A$43:$AC$59,25,FALSE)),0)</f>
        <v>0</v>
      </c>
      <c r="H72" s="1101" t="str">
        <f>H60</f>
        <v>-</v>
      </c>
      <c r="I72" s="1103">
        <f>IFERROR(IF($B$6="Ламель Milan",VLOOKUP($A$46,Данные1!$A$43:$AC$59,23,FALSE),VLOOKUP($A$46,Данные1!$A$43:$AC$59,25,FALSE)),0)</f>
        <v>0</v>
      </c>
      <c r="J72" s="1079"/>
    </row>
    <row r="73" spans="1:10" ht="16.5" customHeight="1" x14ac:dyDescent="0.25">
      <c r="A73" s="1095" t="s">
        <v>993</v>
      </c>
      <c r="B73" s="1114"/>
      <c r="C73" s="1115"/>
      <c r="D73" s="1118"/>
      <c r="E73" s="1115"/>
      <c r="F73" s="1118"/>
      <c r="G73" s="1115"/>
      <c r="H73" s="1118"/>
      <c r="I73" s="1114"/>
      <c r="J73" s="1079"/>
    </row>
    <row r="74" spans="1:10" ht="16.5" customHeight="1" x14ac:dyDescent="0.25">
      <c r="A74" s="1109" t="s">
        <v>981</v>
      </c>
      <c r="B74" s="1107" t="s">
        <v>994</v>
      </c>
      <c r="C74" s="1102">
        <f>C31+C51+C64</f>
        <v>36</v>
      </c>
      <c r="D74" s="1107" t="s">
        <v>994</v>
      </c>
      <c r="E74" s="1102">
        <f>E31+E51+E64</f>
        <v>0</v>
      </c>
      <c r="F74" s="1107" t="s">
        <v>994</v>
      </c>
      <c r="G74" s="1102">
        <f>G31+G51+G64</f>
        <v>0</v>
      </c>
      <c r="H74" s="1107" t="s">
        <v>994</v>
      </c>
      <c r="I74" s="1103">
        <f>I31+I51+I64</f>
        <v>0</v>
      </c>
      <c r="J74" s="1125"/>
    </row>
    <row r="75" spans="1:10" ht="16.5" customHeight="1" x14ac:dyDescent="0.25">
      <c r="A75" s="1100" t="s">
        <v>982</v>
      </c>
      <c r="B75" s="1107" t="s">
        <v>995</v>
      </c>
      <c r="C75" s="1102">
        <f>C32+C52+C65</f>
        <v>270</v>
      </c>
      <c r="D75" s="1107" t="s">
        <v>995</v>
      </c>
      <c r="E75" s="1102">
        <f>E32+E52+E65</f>
        <v>0</v>
      </c>
      <c r="F75" s="1107" t="s">
        <v>995</v>
      </c>
      <c r="G75" s="1102">
        <f>G32+G52+G65</f>
        <v>0</v>
      </c>
      <c r="H75" s="1107" t="s">
        <v>995</v>
      </c>
      <c r="I75" s="1103">
        <f>I32+I52+I65</f>
        <v>0</v>
      </c>
      <c r="J75" s="1125"/>
    </row>
    <row r="76" spans="1:10" ht="16.5" customHeight="1" x14ac:dyDescent="0.25">
      <c r="A76" s="1100" t="s">
        <v>996</v>
      </c>
      <c r="B76" s="1107" t="s">
        <v>997</v>
      </c>
      <c r="C76" s="1102">
        <f>C33</f>
        <v>0</v>
      </c>
      <c r="D76" s="1107" t="s">
        <v>997</v>
      </c>
      <c r="E76" s="1102">
        <f>E33</f>
        <v>0</v>
      </c>
      <c r="F76" s="1107" t="s">
        <v>997</v>
      </c>
      <c r="G76" s="1102">
        <f>G33</f>
        <v>0</v>
      </c>
      <c r="H76" s="1107" t="s">
        <v>997</v>
      </c>
      <c r="I76" s="1103">
        <f>I33</f>
        <v>0</v>
      </c>
      <c r="J76" s="1125"/>
    </row>
    <row r="77" spans="1:10" ht="16.5" customHeight="1" x14ac:dyDescent="0.25">
      <c r="A77" s="1100" t="s">
        <v>998</v>
      </c>
      <c r="B77" s="1107"/>
      <c r="C77" s="1102">
        <f>C34</f>
        <v>0</v>
      </c>
      <c r="D77" s="1107"/>
      <c r="E77" s="1102">
        <f>E34</f>
        <v>0</v>
      </c>
      <c r="F77" s="1107"/>
      <c r="G77" s="1102">
        <f>G34</f>
        <v>0</v>
      </c>
      <c r="H77" s="1107"/>
      <c r="I77" s="1103">
        <f>I34</f>
        <v>0</v>
      </c>
      <c r="J77" s="1125"/>
    </row>
    <row r="78" spans="1:10" ht="12.75" customHeight="1" x14ac:dyDescent="0.25">
      <c r="A78" s="1126"/>
      <c r="B78" s="1127"/>
      <c r="C78" s="1128"/>
      <c r="D78" s="1128"/>
      <c r="E78" s="1128"/>
      <c r="F78" s="1128"/>
      <c r="G78" s="1128"/>
      <c r="H78" s="1128"/>
      <c r="I78" s="1128"/>
      <c r="J78" s="1129"/>
    </row>
    <row r="79" spans="1:10" ht="12.75" customHeight="1" x14ac:dyDescent="0.25">
      <c r="A79" s="1129"/>
      <c r="B79" s="1127"/>
      <c r="C79" s="1128"/>
      <c r="D79" s="1128"/>
      <c r="E79" s="1128"/>
      <c r="F79" s="1128"/>
      <c r="G79" s="1128"/>
      <c r="H79" s="1128"/>
      <c r="I79" s="1128"/>
      <c r="J79" s="1129"/>
    </row>
    <row r="80" spans="1:10" ht="19.5" customHeight="1" x14ac:dyDescent="0.25">
      <c r="A80" s="2504" t="s">
        <v>999</v>
      </c>
      <c r="B80" s="2504"/>
      <c r="C80" s="2504"/>
      <c r="D80" s="2504"/>
      <c r="E80" s="2504"/>
      <c r="F80" s="2504"/>
      <c r="G80" s="2504"/>
      <c r="H80" s="2504"/>
      <c r="I80" s="2504"/>
      <c r="J80" s="1129"/>
    </row>
    <row r="81" spans="1:10" x14ac:dyDescent="0.25">
      <c r="A81" s="2488" t="s">
        <v>1000</v>
      </c>
      <c r="B81" s="2489"/>
      <c r="C81" s="2489"/>
      <c r="D81" s="2489"/>
      <c r="E81" s="2489"/>
      <c r="F81" s="2489"/>
      <c r="G81" s="2489"/>
      <c r="H81" s="2489"/>
      <c r="I81" s="2490"/>
      <c r="J81" s="1126"/>
    </row>
    <row r="82" spans="1:10" x14ac:dyDescent="0.25">
      <c r="A82" s="2488" t="s">
        <v>1001</v>
      </c>
      <c r="B82" s="2489"/>
      <c r="C82" s="2489"/>
      <c r="D82" s="2489"/>
      <c r="E82" s="2489"/>
      <c r="F82" s="2489"/>
      <c r="G82" s="2489"/>
      <c r="H82" s="2489"/>
      <c r="I82" s="2490"/>
      <c r="J82" s="1126"/>
    </row>
    <row r="83" spans="1:10" ht="28.5" customHeight="1" x14ac:dyDescent="0.25">
      <c r="A83" s="2491" t="s">
        <v>1002</v>
      </c>
      <c r="B83" s="2492"/>
      <c r="C83" s="2492"/>
      <c r="D83" s="2492"/>
      <c r="E83" s="2492"/>
      <c r="F83" s="2492"/>
      <c r="G83" s="2492"/>
      <c r="H83" s="2492"/>
      <c r="I83" s="2493"/>
      <c r="J83" s="1130"/>
    </row>
    <row r="84" spans="1:10" ht="32.25" customHeight="1" x14ac:dyDescent="0.25">
      <c r="A84" s="2491" t="s">
        <v>1003</v>
      </c>
      <c r="B84" s="2492"/>
      <c r="C84" s="2492"/>
      <c r="D84" s="2492"/>
      <c r="E84" s="2492"/>
      <c r="F84" s="2492"/>
      <c r="G84" s="2492"/>
      <c r="H84" s="2492"/>
      <c r="I84" s="2493"/>
      <c r="J84" s="1131"/>
    </row>
    <row r="85" spans="1:10" x14ac:dyDescent="0.25">
      <c r="A85" s="2491" t="s">
        <v>1004</v>
      </c>
      <c r="B85" s="2492"/>
      <c r="C85" s="2492"/>
      <c r="D85" s="2492"/>
      <c r="E85" s="2492"/>
      <c r="F85" s="2492"/>
      <c r="G85" s="2492"/>
      <c r="H85" s="2492"/>
      <c r="I85" s="2493"/>
      <c r="J85" s="1131"/>
    </row>
    <row r="86" spans="1:10" ht="28.5" customHeight="1" x14ac:dyDescent="0.25">
      <c r="A86" s="2491" t="s">
        <v>1005</v>
      </c>
      <c r="B86" s="2492"/>
      <c r="C86" s="2492"/>
      <c r="D86" s="2492"/>
      <c r="E86" s="2492"/>
      <c r="F86" s="2492"/>
      <c r="G86" s="2492"/>
      <c r="H86" s="2492"/>
      <c r="I86" s="2493"/>
      <c r="J86" s="1131"/>
    </row>
    <row r="87" spans="1:10" ht="33.75" customHeight="1" x14ac:dyDescent="0.25">
      <c r="A87" s="2491" t="s">
        <v>1006</v>
      </c>
      <c r="B87" s="2492"/>
      <c r="C87" s="2492"/>
      <c r="D87" s="2492"/>
      <c r="E87" s="2492"/>
      <c r="F87" s="2492"/>
      <c r="G87" s="2492"/>
      <c r="H87" s="2492"/>
      <c r="I87" s="2493"/>
      <c r="J87" s="1131"/>
    </row>
    <row r="88" spans="1:10" ht="252.75" customHeight="1" x14ac:dyDescent="0.25">
      <c r="A88" s="2485" t="s">
        <v>1007</v>
      </c>
      <c r="B88" s="2486"/>
      <c r="C88" s="2486"/>
      <c r="D88" s="2486"/>
      <c r="E88" s="2486"/>
      <c r="F88" s="2486"/>
      <c r="G88" s="2486"/>
      <c r="H88" s="2486"/>
      <c r="I88" s="2487"/>
      <c r="J88" s="1131"/>
    </row>
  </sheetData>
  <sheetProtection selectLockedCells="1" selectUnlockedCells="1"/>
  <mergeCells count="67">
    <mergeCell ref="B8:C8"/>
    <mergeCell ref="D8:E8"/>
    <mergeCell ref="F8:G8"/>
    <mergeCell ref="H8:I8"/>
    <mergeCell ref="A4:A5"/>
    <mergeCell ref="B4:I4"/>
    <mergeCell ref="B5:C5"/>
    <mergeCell ref="D5:E5"/>
    <mergeCell ref="F5:G5"/>
    <mergeCell ref="H5:I5"/>
    <mergeCell ref="B6:I6"/>
    <mergeCell ref="B7:C7"/>
    <mergeCell ref="D7:E7"/>
    <mergeCell ref="F7:G7"/>
    <mergeCell ref="H7:I7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A81:I81"/>
    <mergeCell ref="A17:I17"/>
    <mergeCell ref="B18:I18"/>
    <mergeCell ref="A19:A20"/>
    <mergeCell ref="B19:C19"/>
    <mergeCell ref="D19:E19"/>
    <mergeCell ref="F19:G19"/>
    <mergeCell ref="H19:I19"/>
    <mergeCell ref="B36:C36"/>
    <mergeCell ref="D36:E36"/>
    <mergeCell ref="F36:G36"/>
    <mergeCell ref="H36:I36"/>
    <mergeCell ref="A80:I80"/>
    <mergeCell ref="A88:I88"/>
    <mergeCell ref="A82:I82"/>
    <mergeCell ref="A83:I83"/>
    <mergeCell ref="A84:I84"/>
    <mergeCell ref="A85:I85"/>
    <mergeCell ref="A86:I86"/>
    <mergeCell ref="A87:I87"/>
  </mergeCells>
  <dataValidations count="18">
    <dataValidation type="list" allowBlank="1" showInputMessage="1" showErrorMessage="1" sqref="B16:I16" xr:uid="{E016DABA-9D1A-4E90-A119-C83A67D871C6}">
      <formula1>"да,нет"</formula1>
    </dataValidation>
    <dataValidation type="list" allowBlank="1" showInputMessage="1" showErrorMessage="1" sqref="B6:I6" xr:uid="{08645789-0D86-44F6-8AB5-0BB6A1735EE0}">
      <formula1>"Ламель Milan, Ламель Milan slim"</formula1>
    </dataValidation>
    <dataValidation type="list" allowBlank="1" showInputMessage="1" showErrorMessage="1" sqref="B16:I16" xr:uid="{C9601240-1AE9-48B1-AC4B-9F989C6EF50E}">
      <formula1>MilType</formula1>
    </dataValidation>
    <dataValidation type="list" allowBlank="1" showInputMessage="1" showErrorMessage="1" sqref="H15:I15" xr:uid="{0A8A3EA4-46F7-408A-9C69-73DC1037E5FD}">
      <formula1>CEXUI</formula1>
    </dataValidation>
    <dataValidation type="list" allowBlank="1" showInputMessage="1" showErrorMessage="1" sqref="F15:G15" xr:uid="{A3A13424-CEB0-462C-A0E3-F6A714986572}">
      <formula1>IANCJ</formula1>
    </dataValidation>
    <dataValidation type="list" allowBlank="1" showInputMessage="1" showErrorMessage="1" sqref="D15:E15" xr:uid="{CC1AF90E-39B0-4938-B5FF-E62507572E5A}">
      <formula1>MUGNQ</formula1>
    </dataValidation>
    <dataValidation type="list" allowBlank="1" showInputMessage="1" showErrorMessage="1" sqref="B15:C15" xr:uid="{86F9084D-FEAE-4775-895C-4D9E507526F3}">
      <formula1>BTYPS</formula1>
    </dataValidation>
    <dataValidation type="list" allowBlank="1" showInputMessage="1" showErrorMessage="1" sqref="B14:I14" xr:uid="{A571061A-79BF-4D14-BD1A-FCDB3D123D16}">
      <formula1>QPAFE</formula1>
    </dataValidation>
    <dataValidation type="list" allowBlank="1" showInputMessage="1" showErrorMessage="1" sqref="H13:I13" xr:uid="{EE13F190-629F-4166-B7A9-39A7B339658A}">
      <formula1>OGGLT</formula1>
    </dataValidation>
    <dataValidation type="list" allowBlank="1" showInputMessage="1" showErrorMessage="1" sqref="F13:G13" xr:uid="{2910BF05-B0B1-477A-8CDA-50B0F31738C1}">
      <formula1>TAYYL</formula1>
    </dataValidation>
    <dataValidation type="list" allowBlank="1" showInputMessage="1" showErrorMessage="1" sqref="D13:E13" xr:uid="{8FE90462-B426-4D50-ABB1-9E8FE6316890}">
      <formula1>PSAXR</formula1>
    </dataValidation>
    <dataValidation type="list" allowBlank="1" showInputMessage="1" showErrorMessage="1" sqref="B13:C13" xr:uid="{A76C35F3-17D6-4368-9C1D-ACFF87102974}">
      <formula1>GQIBE</formula1>
    </dataValidation>
    <dataValidation type="list" allowBlank="1" showInputMessage="1" showErrorMessage="1" sqref="B12 D12 F12 H12" xr:uid="{FA0DA5F2-460E-4700-9A78-41C80BC1EA42}">
      <formula1>"да, нет"</formula1>
    </dataValidation>
    <dataValidation type="list" allowBlank="1" showInputMessage="1" showErrorMessage="1" sqref="H7" xr:uid="{A381058D-3002-4E52-B4DF-02B2E89177AC}">
      <formula1>IQDLQ</formula1>
    </dataValidation>
    <dataValidation type="list" allowBlank="1" showInputMessage="1" showErrorMessage="1" sqref="F7" xr:uid="{D167CBDA-67A4-45CC-9073-D0CDAE05ABB1}">
      <formula1>YAWAO</formula1>
    </dataValidation>
    <dataValidation type="list" allowBlank="1" showInputMessage="1" showErrorMessage="1" sqref="D7" xr:uid="{AC8A9ED5-7C7B-4767-8A26-5908E132455D}">
      <formula1>JJEDD</formula1>
    </dataValidation>
    <dataValidation type="list" allowBlank="1" showInputMessage="1" showErrorMessage="1" sqref="B7" xr:uid="{CFCC1137-4889-462E-A578-CC40AE8DAFFC}">
      <formula1>MRGOJ</formula1>
    </dataValidation>
    <dataValidation type="decimal" operator="lessThanOrEqual" allowBlank="1" showInputMessage="1" showErrorMessage="1" sqref="H8 B8 D8 F8" xr:uid="{118C6443-0EAE-44A8-BCE0-65E65D0D7EF3}">
      <formula1>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rstPageNumber="0" fitToHeight="2" orientation="portrait" r:id="rId1"/>
  <headerFooter scaleWithDoc="0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86A7-2BD3-4C34-9BB6-8F33C69722FF}">
  <sheetPr>
    <tabColor theme="9"/>
    <pageSetUpPr fitToPage="1"/>
  </sheetPr>
  <dimension ref="A1:AG220"/>
  <sheetViews>
    <sheetView showGridLines="0" zoomScale="85" zoomScaleNormal="85" zoomScaleSheetLayoutView="50" zoomScalePageLayoutView="55" workbookViewId="0">
      <selection activeCell="D2" sqref="D2"/>
    </sheetView>
  </sheetViews>
  <sheetFormatPr defaultColWidth="0" defaultRowHeight="12.75" x14ac:dyDescent="0.2"/>
  <cols>
    <col min="1" max="1" width="55.7109375" style="1079" customWidth="1"/>
    <col min="2" max="3" width="14.28515625" style="1079" bestFit="1" customWidth="1"/>
    <col min="4" max="4" width="15.5703125" style="1079" customWidth="1"/>
    <col min="5" max="6" width="14.42578125" style="1079" customWidth="1"/>
    <col min="7" max="7" width="12.5703125" style="1079" customWidth="1"/>
    <col min="8" max="8" width="13.5703125" style="1079" customWidth="1"/>
    <col min="9" max="9" width="14.85546875" style="1079" customWidth="1"/>
    <col min="10" max="10" width="25.28515625" style="1079" customWidth="1"/>
    <col min="11" max="11" width="9.28515625" style="1079" hidden="1" customWidth="1"/>
    <col min="12" max="12" width="9" style="1079" hidden="1" customWidth="1"/>
    <col min="13" max="13" width="13.85546875" style="1079" hidden="1" customWidth="1"/>
    <col min="14" max="14" width="10.85546875" style="1079" hidden="1" customWidth="1"/>
    <col min="15" max="16384" width="9.140625" style="1079" hidden="1"/>
  </cols>
  <sheetData>
    <row r="1" spans="1:11" x14ac:dyDescent="0.2">
      <c r="A1" s="1074">
        <v>45987</v>
      </c>
      <c r="B1" s="1075"/>
      <c r="C1" s="1075"/>
      <c r="D1" s="1075"/>
      <c r="E1" s="1076"/>
      <c r="F1" s="1076"/>
      <c r="H1" s="1080"/>
      <c r="I1" s="1081"/>
    </row>
    <row r="2" spans="1:11" ht="27" customHeight="1" thickBot="1" x14ac:dyDescent="0.25">
      <c r="A2" s="1083" t="s">
        <v>1008</v>
      </c>
      <c r="B2" s="1083"/>
      <c r="C2" s="1083"/>
      <c r="D2" s="1083"/>
      <c r="E2" s="1083"/>
      <c r="F2" s="1083"/>
      <c r="G2" s="1083"/>
      <c r="H2" s="1083"/>
      <c r="I2" s="1083"/>
      <c r="K2" s="1081"/>
    </row>
    <row r="3" spans="1:11" ht="16.5" customHeight="1" x14ac:dyDescent="0.2">
      <c r="A3" s="1084"/>
      <c r="B3" s="1085"/>
      <c r="H3" s="1086"/>
      <c r="I3" s="1086"/>
      <c r="J3" s="1087"/>
      <c r="K3" s="1087"/>
    </row>
    <row r="4" spans="1:11" ht="16.5" customHeight="1" x14ac:dyDescent="0.2">
      <c r="A4" s="2510" t="s">
        <v>1009</v>
      </c>
      <c r="B4" s="2496" t="s">
        <v>943</v>
      </c>
      <c r="C4" s="2496"/>
      <c r="D4" s="2496"/>
      <c r="E4" s="2496"/>
      <c r="F4" s="2496"/>
      <c r="G4" s="2496"/>
      <c r="H4" s="2496"/>
      <c r="I4" s="2496"/>
      <c r="J4" s="1087"/>
      <c r="K4" s="1087"/>
    </row>
    <row r="5" spans="1:11" ht="16.5" customHeight="1" x14ac:dyDescent="0.2">
      <c r="A5" s="2510"/>
      <c r="B5" s="2511" t="s">
        <v>944</v>
      </c>
      <c r="C5" s="2511"/>
      <c r="D5" s="2511" t="s">
        <v>945</v>
      </c>
      <c r="E5" s="2511"/>
      <c r="F5" s="2511" t="s">
        <v>946</v>
      </c>
      <c r="G5" s="2511"/>
      <c r="H5" s="2511" t="s">
        <v>947</v>
      </c>
      <c r="I5" s="2511"/>
      <c r="J5" s="1087"/>
      <c r="K5" s="1087"/>
    </row>
    <row r="6" spans="1:11" ht="16.5" customHeight="1" x14ac:dyDescent="0.2">
      <c r="A6" s="1090" t="s">
        <v>951</v>
      </c>
      <c r="B6" s="2509">
        <v>0</v>
      </c>
      <c r="C6" s="2509"/>
      <c r="D6" s="2509">
        <v>0</v>
      </c>
      <c r="E6" s="2509"/>
      <c r="F6" s="2509">
        <v>0</v>
      </c>
      <c r="G6" s="2509"/>
      <c r="H6" s="2509">
        <v>0</v>
      </c>
      <c r="I6" s="2509"/>
      <c r="J6" s="1085" t="s">
        <v>950</v>
      </c>
      <c r="K6" s="1087"/>
    </row>
    <row r="7" spans="1:11" ht="16.5" customHeight="1" x14ac:dyDescent="0.2">
      <c r="A7" s="1090" t="s">
        <v>952</v>
      </c>
      <c r="B7" s="2509">
        <v>0</v>
      </c>
      <c r="C7" s="2509"/>
      <c r="D7" s="2509">
        <v>0</v>
      </c>
      <c r="E7" s="2509"/>
      <c r="F7" s="2509">
        <v>0</v>
      </c>
      <c r="G7" s="2509"/>
      <c r="H7" s="2509">
        <v>0</v>
      </c>
      <c r="I7" s="2509"/>
      <c r="J7" s="1085" t="s">
        <v>953</v>
      </c>
      <c r="K7" s="1087"/>
    </row>
    <row r="8" spans="1:11" ht="16.5" customHeight="1" x14ac:dyDescent="0.2">
      <c r="A8" s="1090" t="s">
        <v>954</v>
      </c>
      <c r="B8" s="2509">
        <v>0</v>
      </c>
      <c r="C8" s="2509"/>
      <c r="D8" s="2509">
        <v>0</v>
      </c>
      <c r="E8" s="2509"/>
      <c r="F8" s="2509">
        <v>0</v>
      </c>
      <c r="G8" s="2509"/>
      <c r="H8" s="2509">
        <v>0</v>
      </c>
      <c r="I8" s="2509"/>
      <c r="J8" s="1085" t="s">
        <v>955</v>
      </c>
      <c r="K8" s="1087"/>
    </row>
    <row r="9" spans="1:11" ht="16.5" customHeight="1" x14ac:dyDescent="0.2">
      <c r="A9" s="1089" t="s">
        <v>956</v>
      </c>
      <c r="B9" s="2509">
        <v>0</v>
      </c>
      <c r="C9" s="2509"/>
      <c r="D9" s="2509">
        <v>0</v>
      </c>
      <c r="E9" s="2509"/>
      <c r="F9" s="2509">
        <v>0</v>
      </c>
      <c r="G9" s="2509"/>
      <c r="H9" s="2509">
        <v>0</v>
      </c>
      <c r="I9" s="2509"/>
      <c r="J9" s="1085" t="s">
        <v>955</v>
      </c>
      <c r="K9" s="1087"/>
    </row>
    <row r="10" spans="1:11" ht="16.5" customHeight="1" x14ac:dyDescent="0.2">
      <c r="A10" s="1089" t="s">
        <v>1010</v>
      </c>
      <c r="B10" s="2509">
        <v>0</v>
      </c>
      <c r="C10" s="2509"/>
      <c r="D10" s="2509">
        <v>0</v>
      </c>
      <c r="E10" s="2509"/>
      <c r="F10" s="2509">
        <v>0</v>
      </c>
      <c r="G10" s="2509"/>
      <c r="H10" s="2509">
        <v>0</v>
      </c>
      <c r="I10" s="2509"/>
      <c r="J10" s="1085" t="s">
        <v>955</v>
      </c>
      <c r="K10" s="1087"/>
    </row>
    <row r="11" spans="1:11" ht="16.5" customHeight="1" x14ac:dyDescent="0.2">
      <c r="A11" s="1090" t="s">
        <v>958</v>
      </c>
      <c r="B11" s="2509" t="s">
        <v>959</v>
      </c>
      <c r="C11" s="2509"/>
      <c r="D11" s="2509" t="s">
        <v>959</v>
      </c>
      <c r="E11" s="2509"/>
      <c r="F11" s="2509" t="s">
        <v>959</v>
      </c>
      <c r="G11" s="2509"/>
      <c r="H11" s="2509" t="s">
        <v>959</v>
      </c>
      <c r="I11" s="2509"/>
      <c r="J11" s="1085" t="s">
        <v>950</v>
      </c>
      <c r="K11" s="1087"/>
    </row>
    <row r="12" spans="1:11" ht="16.5" customHeight="1" x14ac:dyDescent="0.2">
      <c r="A12" s="1090" t="s">
        <v>1011</v>
      </c>
      <c r="B12" s="2507" t="s">
        <v>959</v>
      </c>
      <c r="C12" s="2508"/>
      <c r="D12" s="2507" t="s">
        <v>959</v>
      </c>
      <c r="E12" s="2508"/>
      <c r="F12" s="2507" t="s">
        <v>959</v>
      </c>
      <c r="G12" s="2508"/>
      <c r="H12" s="2507" t="s">
        <v>959</v>
      </c>
      <c r="I12" s="2508"/>
      <c r="J12" s="1085" t="s">
        <v>950</v>
      </c>
      <c r="K12" s="1087"/>
    </row>
    <row r="13" spans="1:11" ht="21.75" customHeight="1" x14ac:dyDescent="0.2">
      <c r="A13" s="1090" t="s">
        <v>1012</v>
      </c>
      <c r="B13" s="2505" t="s">
        <v>959</v>
      </c>
      <c r="C13" s="2506"/>
      <c r="D13" s="2505" t="s">
        <v>959</v>
      </c>
      <c r="E13" s="2506"/>
      <c r="F13" s="2505" t="s">
        <v>959</v>
      </c>
      <c r="G13" s="2506"/>
      <c r="H13" s="2505" t="s">
        <v>959</v>
      </c>
      <c r="I13" s="2506"/>
      <c r="J13" s="1085" t="s">
        <v>950</v>
      </c>
      <c r="K13" s="1087"/>
    </row>
    <row r="14" spans="1:11" ht="15.75" customHeight="1" x14ac:dyDescent="0.2">
      <c r="A14" s="1090" t="s">
        <v>963</v>
      </c>
      <c r="B14" s="2505" t="s">
        <v>18</v>
      </c>
      <c r="C14" s="2506"/>
      <c r="D14" s="2505" t="s">
        <v>18</v>
      </c>
      <c r="E14" s="2506"/>
      <c r="F14" s="2505" t="s">
        <v>18</v>
      </c>
      <c r="G14" s="2506"/>
      <c r="H14" s="2505" t="s">
        <v>18</v>
      </c>
      <c r="I14" s="2506"/>
      <c r="J14" s="1085" t="s">
        <v>950</v>
      </c>
      <c r="K14" s="1087"/>
    </row>
    <row r="15" spans="1:11" ht="15.75" customHeight="1" x14ac:dyDescent="0.2">
      <c r="A15" s="1090" t="s">
        <v>964</v>
      </c>
      <c r="B15" s="2505" t="s">
        <v>1013</v>
      </c>
      <c r="C15" s="2506"/>
      <c r="D15" s="2505" t="s">
        <v>959</v>
      </c>
      <c r="E15" s="2506"/>
      <c r="F15" s="2505" t="s">
        <v>959</v>
      </c>
      <c r="G15" s="2506"/>
      <c r="H15" s="2505" t="s">
        <v>959</v>
      </c>
      <c r="I15" s="2506"/>
      <c r="J15" s="1085" t="s">
        <v>950</v>
      </c>
      <c r="K15" s="1087"/>
    </row>
    <row r="16" spans="1:11" ht="19.5" customHeight="1" x14ac:dyDescent="0.2">
      <c r="A16" s="2494" t="s">
        <v>965</v>
      </c>
      <c r="B16" s="2494"/>
      <c r="C16" s="2494"/>
      <c r="D16" s="2494"/>
      <c r="E16" s="2494"/>
      <c r="F16" s="2494"/>
      <c r="G16" s="2494"/>
      <c r="H16" s="2494"/>
      <c r="I16" s="2494"/>
      <c r="K16" s="1087"/>
    </row>
    <row r="17" spans="1:11" ht="45.75" customHeight="1" x14ac:dyDescent="0.2">
      <c r="A17" s="1132" t="str">
        <f>IF(OR(B7&gt;2.5,D7&gt;2.5,F7&gt;2.5,H7&gt;2.5),"Секции более 2,5 метров не рекомендуются. Продажа осуществляется по подписанной спецификации клиента","")</f>
        <v/>
      </c>
      <c r="B17" s="2495" t="s">
        <v>966</v>
      </c>
      <c r="C17" s="2495"/>
      <c r="D17" s="2495"/>
      <c r="E17" s="2495"/>
      <c r="F17" s="2495"/>
      <c r="G17" s="2495"/>
      <c r="H17" s="2495"/>
      <c r="I17" s="2495"/>
      <c r="J17" s="1087"/>
      <c r="K17" s="1087"/>
    </row>
    <row r="18" spans="1:11" ht="16.5" customHeight="1" x14ac:dyDescent="0.2">
      <c r="A18" s="2496" t="s">
        <v>1014</v>
      </c>
      <c r="B18" s="2497" t="s">
        <v>968</v>
      </c>
      <c r="C18" s="2498"/>
      <c r="D18" s="2498" t="s">
        <v>969</v>
      </c>
      <c r="E18" s="2498"/>
      <c r="F18" s="2498" t="s">
        <v>970</v>
      </c>
      <c r="G18" s="2498"/>
      <c r="H18" s="2498" t="s">
        <v>971</v>
      </c>
      <c r="I18" s="2499"/>
      <c r="K18" s="1087"/>
    </row>
    <row r="19" spans="1:11" ht="16.5" customHeight="1" x14ac:dyDescent="0.2">
      <c r="A19" s="2496"/>
      <c r="B19" s="1088" t="s">
        <v>972</v>
      </c>
      <c r="C19" s="1093" t="s">
        <v>973</v>
      </c>
      <c r="D19" s="1094" t="s">
        <v>972</v>
      </c>
      <c r="E19" s="1093" t="s">
        <v>973</v>
      </c>
      <c r="F19" s="1094" t="s">
        <v>972</v>
      </c>
      <c r="G19" s="1093" t="s">
        <v>973</v>
      </c>
      <c r="H19" s="1094" t="s">
        <v>972</v>
      </c>
      <c r="I19" s="1088" t="s">
        <v>973</v>
      </c>
      <c r="K19" s="1087"/>
    </row>
    <row r="20" spans="1:11" ht="16.5" customHeight="1" x14ac:dyDescent="0.2">
      <c r="A20" s="1095" t="s">
        <v>974</v>
      </c>
      <c r="B20" s="1095"/>
      <c r="C20" s="1096"/>
      <c r="D20" s="1097"/>
      <c r="E20" s="1098"/>
      <c r="F20" s="1097"/>
      <c r="G20" s="1098"/>
      <c r="H20" s="1097"/>
      <c r="I20" s="1099"/>
      <c r="K20" s="1087"/>
    </row>
    <row r="21" spans="1:11" ht="16.5" customHeight="1" x14ac:dyDescent="0.2">
      <c r="A21" s="1100" t="s">
        <v>1015</v>
      </c>
      <c r="B21" s="1101">
        <f>IF(B7=0,0,B7-0.01)</f>
        <v>0</v>
      </c>
      <c r="C21" s="1102">
        <f>IF(B21=0,0,B8*VLOOKUP(B6,Данные1!$B$5:$C$31,2,FALSE))</f>
        <v>0</v>
      </c>
      <c r="D21" s="1101">
        <f>IF(D7=0,0,D7-0.01)</f>
        <v>0</v>
      </c>
      <c r="E21" s="1102">
        <f>IF(D21=0,0,D8*VLOOKUP(D6,Данные1!$B$5:$C$31,2,FALSE))</f>
        <v>0</v>
      </c>
      <c r="F21" s="1101">
        <f>IF(F7=0,0,F7-0.01)</f>
        <v>0</v>
      </c>
      <c r="G21" s="1102">
        <f>IF(F21=0,0,F8*VLOOKUP(F6,Данные1!$B$5:$C$31,2,FALSE))</f>
        <v>0</v>
      </c>
      <c r="H21" s="1108">
        <f>IF(H7=0,0,H7-0.01)</f>
        <v>0</v>
      </c>
      <c r="I21" s="1103">
        <f>IF(H21=0,0,H8*VLOOKUP(H6,Данные1!$B$5:$C$31,2,FALSE))</f>
        <v>0</v>
      </c>
      <c r="K21" s="1087"/>
    </row>
    <row r="22" spans="1:11" ht="16.5" customHeight="1" x14ac:dyDescent="0.2">
      <c r="A22" s="1100" t="s">
        <v>976</v>
      </c>
      <c r="B22" s="1101">
        <f>IF(AND(B6&gt;0,B11="да"),0,IF(AND(B6&gt;=0.1, B6&lt;=1.8), 1.8, IF(AND(B6&gt;1.8, B6&lt;=2), 2, IF(AND(B6&gt;2, B6&lt;=2.5), 2.5, IF(AND(B6&gt;2.5, B6&lt;=3), 3, 0)))))</f>
        <v>0</v>
      </c>
      <c r="C22" s="1102">
        <f>IF(B22=0,0,IF(B8=0,0,IF(B8=1,2*2,IF(B10=0,(B8+1)*2-C23,(B8+1+B10)*2-C23))))</f>
        <v>0</v>
      </c>
      <c r="D22" s="1101">
        <f>IF(AND(D6&gt;0,D11="да"),0,IF(AND(D6&gt;=0.1, D6&lt;=1.8), 1.8, IF(AND(D6&gt;1.8, D6&lt;=2), 2, IF(AND(D6&gt;2, D6&lt;=2.5), 2.5, IF(AND(D6&gt;2.5, D6&lt;=3), 3, 0)))))</f>
        <v>0</v>
      </c>
      <c r="E22" s="1102">
        <f>IF(D22=0,0,IF(D8=0,0,IF(D8=1,2*2,IF(D10=0,(D8+1)*2-E23,(D8+1+D10)*2-E23))))</f>
        <v>0</v>
      </c>
      <c r="F22" s="1101">
        <f>IF(AND(F6&gt;0,F11="да"),0,IF(AND(F6&gt;=0.1, F6&lt;=1.8), 1.8, IF(AND(F6&gt;1.8, F6&lt;=2), 2, IF(AND(F6&gt;2, F6&lt;=2.5), 2.5, IF(AND(F6&gt;2.5, F6&lt;=3), 3, 0)))))</f>
        <v>0</v>
      </c>
      <c r="G22" s="1102">
        <f>IF(F22=0,0,IF(F8=0,0,IF(F8=1,2*2,IF(F10=0,(F8+1)*2-G23,(F8+1+F10)*2-G23))))</f>
        <v>0</v>
      </c>
      <c r="H22" s="1101">
        <f>IF(AND(H6&gt;0,H11="да"),0,IF(AND(H6&gt;=0.1, H6&lt;=1.8), 1.8, IF(AND(H6&gt;1.8, H6&lt;=2), 2, IF(AND(H6&gt;2, H6&lt;=2.5), 2.5, IF(AND(H6&gt;2.5, H6&lt;=3), 3, 0)))))</f>
        <v>0</v>
      </c>
      <c r="I22" s="1103">
        <f>IF(H22=0,0,IF(H8=0,0,IF(H8=1,2*2,IF(H10=0,(H8+1)*2-I23,(H8+1+H10)*2-I23))))</f>
        <v>0</v>
      </c>
      <c r="J22" s="1133"/>
      <c r="K22" s="1087"/>
    </row>
    <row r="23" spans="1:11" ht="16.5" customHeight="1" x14ac:dyDescent="0.2">
      <c r="A23" s="1100" t="s">
        <v>977</v>
      </c>
      <c r="B23" s="1101">
        <f>IF(OR(AND(B9=0,B10=0),B11="да"),0,IF(AND(B6&gt;=0.1, B6&lt;=1.8), 1.8, IF(AND(B6&gt;1.8, B6&lt;=2), 2, IF(AND(B6&gt;2, B6&lt;=2.5), 2.5, IF(AND(B6&gt;2.5, B6&lt;=3), 3, 0)))))</f>
        <v>0</v>
      </c>
      <c r="C23" s="1102">
        <f>IF(B23=0,0,B9+B10*2)</f>
        <v>0</v>
      </c>
      <c r="D23" s="1101">
        <f>IF(OR(AND(D9=0,D10=0),D11="да"),0,IF(AND(D6&gt;=0.1, D6&lt;=1.8), 1.8, IF(AND(D6&gt;1.8, D6&lt;=2), 2, IF(AND(D6&gt;2, D6&lt;=2.5), 2.5, IF(AND(D6&gt;2.5, D6&lt;=3), 3, 0)))))</f>
        <v>0</v>
      </c>
      <c r="E23" s="1102">
        <f>IF(D23=0,0,D9+D10*2)</f>
        <v>0</v>
      </c>
      <c r="F23" s="1101">
        <f>IF(OR(AND(F9=0,F10=0),F11="да"),0,IF(AND(F6&gt;=0.1, F6&lt;=1.8), 1.8, IF(AND(F6&gt;1.8, F6&lt;=2), 2, IF(AND(F6&gt;2, F6&lt;=2.5), 2.5, IF(AND(F6&gt;2.5, F6&lt;=3), 3, 0)))))</f>
        <v>0</v>
      </c>
      <c r="G23" s="1102">
        <f>IF(F23=0,0,F9+F10*2)</f>
        <v>0</v>
      </c>
      <c r="H23" s="1101">
        <f>IF(OR(AND(H9=0,H10=0),H11="да"),0,IF(AND(H6&gt;=0.1, H6&lt;=1.8), 1.8, IF(AND(H6&gt;1.8, H6&lt;=2), 2, IF(AND(H6&gt;2, H6&lt;=2.5), 2.5, IF(AND(H6&gt;2.5, H6&lt;=3), 3, 0)))))</f>
        <v>0</v>
      </c>
      <c r="I23" s="1103">
        <f>IF(H23=0,0,H9+H10*2)</f>
        <v>0</v>
      </c>
      <c r="K23" s="1087"/>
    </row>
    <row r="24" spans="1:11" ht="16.5" customHeight="1" x14ac:dyDescent="0.2">
      <c r="A24" s="1100" t="s">
        <v>978</v>
      </c>
      <c r="B24" s="1101">
        <f>IF(B8=0,0,IF(AND(B6&gt;=0.1, B6&lt;=1.8), 1.8, IF(AND(B6&gt;1.8, B6&lt;=2), 2, IF(AND(B6&gt;2, B6&lt;=2.5), 2.5, IF(AND(B6&gt;2.5, B6&lt;=3), 3, 0)))))</f>
        <v>0</v>
      </c>
      <c r="C24" s="1102">
        <f>B8*(IF(AND(B7&gt;=0,B7&lt;=1),0,IF(AND(B7&gt;1.1,B7&lt;=1.99),1,IF(AND(B7&gt;=2,B7&lt;=3),2,0))))</f>
        <v>0</v>
      </c>
      <c r="D24" s="1101">
        <f>IF(D8=0,0,IF(AND(D6&gt;=0.1, D6&lt;=1.8), 1.8, IF(AND(D6&gt;1.8, D6&lt;=2), 2, IF(AND(D6&gt;2, D6&lt;=2.5), 2.5, IF(AND(D6&gt;2.5, D6&lt;=3), 3, 0)))))</f>
        <v>0</v>
      </c>
      <c r="E24" s="1102">
        <f>D8*(IF(AND(D7&gt;=0,D7&lt;=1),0,IF(AND(D7&gt;1.1,D7&lt;=1.99),1,IF(AND(D7&gt;=2,D7&lt;=3),2,0))))</f>
        <v>0</v>
      </c>
      <c r="F24" s="1101">
        <f>IF(F8=0,0,IF(AND(F6&gt;=0.1, F6&lt;=1.8), 1.8, IF(AND(F6&gt;1.8, F6&lt;=2), 2, IF(AND(F6&gt;2, F6&lt;=2.5), 2.5, IF(AND(F6&gt;2.5, F6&lt;=3), 3, 0)))))</f>
        <v>0</v>
      </c>
      <c r="G24" s="1102">
        <f>F8*(IF(AND(F7&gt;=0,F7&lt;=1),0,IF(AND(F7&gt;1.1,F7&lt;=1.99),1,IF(AND(F7&gt;=2,F7&lt;=3),2,0))))</f>
        <v>0</v>
      </c>
      <c r="H24" s="1101">
        <f>IF(H8=0,0,IF(AND(H6&gt;=0.1, H6&lt;=1.8), 1.8, IF(AND(H6&gt;1.8, H6&lt;=2), 2, IF(AND(H6&gt;2, H6&lt;=2.5), 2.5, IF(AND(H6&gt;2.5, H6&lt;=3), 3, 0)))))</f>
        <v>0</v>
      </c>
      <c r="I24" s="1103">
        <f>H8*(IF(AND(H7&gt;=0,H7&lt;=1),0,IF(AND(H7&gt;1.1,H7&lt;=1.99),1,IF(AND(H7&gt;=2,H7&lt;=3),2,0))))</f>
        <v>0</v>
      </c>
      <c r="K24" s="1087"/>
    </row>
    <row r="25" spans="1:11" ht="16.5" customHeight="1" x14ac:dyDescent="0.2">
      <c r="A25" s="1100" t="s">
        <v>1016</v>
      </c>
      <c r="B25" s="1101">
        <f>IF(B8=0,0,IF(AND(B6&gt;=0.1, B6&lt;=1.8), 1.8, IF(AND(B6&gt;1.8, B6&lt;=2), 2, IF(AND(B6&gt;2, B6&lt;=2.5), 2.5, IF(AND(B6&gt;2.5, B6&lt;=3), 3, 0)))))</f>
        <v>0</v>
      </c>
      <c r="C25" s="1102">
        <f>2*B8</f>
        <v>0</v>
      </c>
      <c r="D25" s="1101">
        <f>IF(D8=0,0,IF(AND(D6&gt;=0.1, D6&lt;=1.8), 1.8, IF(AND(D6&gt;1.8, D6&lt;=2), 2, IF(AND(D6&gt;2, D6&lt;=2.5), 2.5, IF(AND(D6&gt;2.5, D6&lt;=3), 3, 0)))))</f>
        <v>0</v>
      </c>
      <c r="E25" s="1102">
        <f>2*D8</f>
        <v>0</v>
      </c>
      <c r="F25" s="1101">
        <f>IF(F8=0,0,IF(AND(F6&gt;=0.1, F6&lt;=1.8), 1.8, IF(AND(F6&gt;1.8, F6&lt;=2), 2, IF(AND(F6&gt;2, F6&lt;=2.5), 2.5, IF(AND(F6&gt;2.5, F6&lt;=3), 3, 0)))))</f>
        <v>0</v>
      </c>
      <c r="G25" s="1102">
        <f>2*F8</f>
        <v>0</v>
      </c>
      <c r="H25" s="1101">
        <f>IF(H8=0,0,IF(AND(H6&gt;=0.1, H6&lt;=1.8), 1.8, IF(AND(H6&gt;1.8, H6&lt;=2), 2, IF(AND(H6&gt;2, H6&lt;=2.5), 2.5, IF(AND(H6&gt;2.5, H6&lt;=3), 3, 0)))))</f>
        <v>0</v>
      </c>
      <c r="I25" s="1103">
        <f>2*H8</f>
        <v>0</v>
      </c>
      <c r="K25" s="1087"/>
    </row>
    <row r="26" spans="1:11" ht="16.5" customHeight="1" x14ac:dyDescent="0.2">
      <c r="A26" s="1100" t="s">
        <v>89</v>
      </c>
      <c r="B26" s="1101">
        <f>IF(AND(B7&gt;=0.5, B7&lt;=2), 2, IF(AND(B7&gt;2, B7&lt;=2.5), 2.5, IF(AND(B7&gt;2.5, B7&lt;=3), 3,0)))</f>
        <v>0</v>
      </c>
      <c r="C26" s="1102">
        <f>1*B8</f>
        <v>0</v>
      </c>
      <c r="D26" s="1101">
        <f>IF(AND(D7&gt;=0.5, D7&lt;=2), 2, IF(AND(D7&gt;2, D7&lt;=2.5), 2.5, IF(AND(D7&gt;2.5, D7&lt;=3), 3,0)))</f>
        <v>0</v>
      </c>
      <c r="E26" s="1102">
        <f>1*D8</f>
        <v>0</v>
      </c>
      <c r="F26" s="1101">
        <f>IF(AND(F7&gt;=0.5, F7&lt;=2), 2, IF(AND(F7&gt;2, F7&lt;=2.5), 2.5, IF(AND(F7&gt;2.5, F7&lt;=3), 3,0)))</f>
        <v>0</v>
      </c>
      <c r="G26" s="1102">
        <f>1*F8</f>
        <v>0</v>
      </c>
      <c r="H26" s="1101">
        <f>IF(AND(H7&gt;=0.5, H7&lt;=2), 2, IF(AND(H7&gt;2, H7&lt;=2.5), 2.5, IF(AND(H7&gt;2.5, H7&lt;=3), 3,0)))</f>
        <v>0</v>
      </c>
      <c r="I26" s="1103">
        <f>1*H8</f>
        <v>0</v>
      </c>
      <c r="K26" s="1087"/>
    </row>
    <row r="27" spans="1:11" ht="16.5" customHeight="1" x14ac:dyDescent="0.2">
      <c r="A27" s="1106" t="s">
        <v>979</v>
      </c>
      <c r="B27" s="1107" t="s">
        <v>18</v>
      </c>
      <c r="C27" s="1102">
        <f>IF(B11="да",0,(IF(B8=0,0,IF(B8=1,2,IF(B10=0,B8+1,B8+1+B10)))))</f>
        <v>0</v>
      </c>
      <c r="D27" s="1107" t="s">
        <v>18</v>
      </c>
      <c r="E27" s="1102">
        <f>IF(D11="да",0,(IF(D8=0,0,IF(D8=1,2,IF(D10=0,D8+1,D8+1+D10)))))</f>
        <v>0</v>
      </c>
      <c r="F27" s="1107" t="s">
        <v>18</v>
      </c>
      <c r="G27" s="1102">
        <f>IF(F11="да",0,(IF(F8=0,0,IF(F8=1,2,IF(F10=0,F8+1,F8+1+F10)))))</f>
        <v>0</v>
      </c>
      <c r="H27" s="1110" t="s">
        <v>18</v>
      </c>
      <c r="I27" s="1103">
        <f>IF(H11="да",0,(IF(H8=0,0,IF(H8=1,2,IF(H10=0,H8+1,H8+1+H10)))))</f>
        <v>0</v>
      </c>
      <c r="K27" s="1087"/>
    </row>
    <row r="28" spans="1:11" ht="16.5" customHeight="1" x14ac:dyDescent="0.2">
      <c r="A28" s="1100" t="s">
        <v>980</v>
      </c>
      <c r="B28" s="1101" t="s">
        <v>18</v>
      </c>
      <c r="C28" s="1102">
        <f>IF(B8=0,0,2)</f>
        <v>0</v>
      </c>
      <c r="D28" s="1101" t="s">
        <v>18</v>
      </c>
      <c r="E28" s="1102">
        <v>0</v>
      </c>
      <c r="F28" s="1101" t="s">
        <v>18</v>
      </c>
      <c r="G28" s="1102">
        <v>0</v>
      </c>
      <c r="H28" s="1108" t="s">
        <v>18</v>
      </c>
      <c r="I28" s="1103">
        <v>0</v>
      </c>
      <c r="K28" s="1087"/>
    </row>
    <row r="29" spans="1:11" ht="16.5" customHeight="1" x14ac:dyDescent="0.2">
      <c r="A29" s="1109" t="s">
        <v>981</v>
      </c>
      <c r="B29" s="1107" t="str">
        <f>IF(C29=0,"-","5,5х19")</f>
        <v>-</v>
      </c>
      <c r="C29" s="1102">
        <f>IF(B11="да",0,(C25*5))</f>
        <v>0</v>
      </c>
      <c r="D29" s="1107" t="str">
        <f>IF(E29=0,"-","5,5х19")</f>
        <v>-</v>
      </c>
      <c r="E29" s="1102">
        <f>IF(D11="да",0,(E25*5))</f>
        <v>0</v>
      </c>
      <c r="F29" s="1107" t="str">
        <f>IF(G29=0,"-","5,5х19")</f>
        <v>-</v>
      </c>
      <c r="G29" s="1102">
        <f>IF(F11="да",0,(G25*5))</f>
        <v>0</v>
      </c>
      <c r="H29" s="1110" t="str">
        <f>IF(I29=0,"-","5,5х19")</f>
        <v>-</v>
      </c>
      <c r="I29" s="1103">
        <f>IF(H11="да",0,(I25*5))</f>
        <v>0</v>
      </c>
      <c r="K29" s="1087"/>
    </row>
    <row r="30" spans="1:11" ht="16.149999999999999" customHeight="1" x14ac:dyDescent="0.2">
      <c r="A30" s="1100" t="s">
        <v>982</v>
      </c>
      <c r="B30" s="1107" t="str">
        <f>IF(C30=0,"-","4,2x16")</f>
        <v>-</v>
      </c>
      <c r="C30" s="1111">
        <f>IF(B8=0,0,IF(B15="нет", 4*C26+4*C21+C21*C24/B8,4*C26+C21*C24/B8))</f>
        <v>0</v>
      </c>
      <c r="D30" s="1107" t="str">
        <f>IF(E30=0,"-","4,2x16")</f>
        <v>-</v>
      </c>
      <c r="E30" s="1111">
        <f>IF(D8=0,0,IF(D15="нет", 4*E26+4*E21+E21*E24/D8,4*E26+E21*E24/D8))</f>
        <v>0</v>
      </c>
      <c r="F30" s="1107" t="str">
        <f>IF(G30=0,"-","4,2x16")</f>
        <v>-</v>
      </c>
      <c r="G30" s="1111">
        <f>IF(F8=0,0,IF(F15="нет", 4*G26+4*G21+G21*G24/F8,4*G26+G21*G24/F8))</f>
        <v>0</v>
      </c>
      <c r="H30" s="1110" t="str">
        <f>IF(I30=0,"-","4,2x16")</f>
        <v>-</v>
      </c>
      <c r="I30" s="1103">
        <f>IF(H8=0,0,IF(H15="нет", 4*I26+4*I21+I21*I24/H8,4*I26+I21*I24/H8))</f>
        <v>0</v>
      </c>
      <c r="K30" s="1087"/>
    </row>
    <row r="31" spans="1:11" ht="16.5" customHeight="1" x14ac:dyDescent="0.2">
      <c r="A31" s="1100" t="s">
        <v>996</v>
      </c>
      <c r="B31" s="1107" t="str">
        <f>IF(C31=0,"-","7,5x52")</f>
        <v>-</v>
      </c>
      <c r="C31" s="1102">
        <f>IF(B$8=0,0,IF(B$11="да",C25*5,0))</f>
        <v>0</v>
      </c>
      <c r="D31" s="1107" t="str">
        <f>IF(E31=0,"-","7,5x52")</f>
        <v>-</v>
      </c>
      <c r="E31" s="1102">
        <f>IF(D$8=0,0,IF(D$11="да",E25*5,0))</f>
        <v>0</v>
      </c>
      <c r="F31" s="1107" t="str">
        <f>IF(G31=0,"-","7,5x52")</f>
        <v>-</v>
      </c>
      <c r="G31" s="1102">
        <f>IF(F$8=0,0,IF(F$11="да",G25*5,0))</f>
        <v>0</v>
      </c>
      <c r="H31" s="1107" t="str">
        <f>IF(I31=0,"-","7,5x52")</f>
        <v>-</v>
      </c>
      <c r="I31" s="1103">
        <f>IF(H$8=0,0,IF(H$11="да",I25*5,0))</f>
        <v>0</v>
      </c>
      <c r="K31" s="1087"/>
    </row>
    <row r="32" spans="1:11" ht="16.5" customHeight="1" x14ac:dyDescent="0.2">
      <c r="A32" s="1100" t="s">
        <v>998</v>
      </c>
      <c r="B32" s="1107"/>
      <c r="C32" s="1102">
        <f>C31</f>
        <v>0</v>
      </c>
      <c r="D32" s="1107"/>
      <c r="E32" s="1102">
        <f>E31</f>
        <v>0</v>
      </c>
      <c r="F32" s="1107"/>
      <c r="G32" s="1102">
        <f>G31</f>
        <v>0</v>
      </c>
      <c r="H32" s="1107"/>
      <c r="I32" s="1103">
        <f>I31</f>
        <v>0</v>
      </c>
      <c r="K32" s="1087"/>
    </row>
    <row r="33" spans="1:11" ht="16.5" customHeight="1" x14ac:dyDescent="0.2">
      <c r="A33" s="1100" t="s">
        <v>1017</v>
      </c>
      <c r="B33" s="1107" t="str">
        <f>IF(C33="инд. расчет","инд. расчет","")</f>
        <v/>
      </c>
      <c r="C33" s="1102">
        <f>IF(B15="нет",0,IF(AND(B15="да",B6&lt;=2),B8*2,(ROUNDUP(B6/2*B8,0)*2)))</f>
        <v>0</v>
      </c>
      <c r="D33" s="1107" t="str">
        <f>IF(E33="инд. расчет","инд. расчет","")</f>
        <v/>
      </c>
      <c r="E33" s="1102">
        <f>IF(D15="нет",0,IF(AND(D15="да",D6&lt;=2),D8*2,(ROUNDUP(D6/2*D8,0)*2)))</f>
        <v>0</v>
      </c>
      <c r="F33" s="1107" t="str">
        <f>IF(G33="инд. расчет","инд. расчет","")</f>
        <v/>
      </c>
      <c r="G33" s="1102">
        <f>IF(F15="нет",0,IF(AND(F15="да",F6&lt;=2),F8*2,(ROUNDUP(F6/2*F8,0)*2)))</f>
        <v>0</v>
      </c>
      <c r="H33" s="1110" t="str">
        <f>IF(I33="инд. расчет","инд. расчет","")</f>
        <v/>
      </c>
      <c r="I33" s="1103">
        <f>IF(H15="нет",0,IF(AND(H15="да",H6&lt;=2),H8*2,(ROUNDUP(H6/2*H8,0)*2)))</f>
        <v>0</v>
      </c>
      <c r="J33" s="1113"/>
      <c r="K33" s="1087"/>
    </row>
    <row r="34" spans="1:11" ht="24" customHeight="1" x14ac:dyDescent="0.2">
      <c r="A34" s="1100"/>
      <c r="B34" s="2500" t="str">
        <f>IF(B15="нет","Крепежный вкладыш не применяется","")</f>
        <v/>
      </c>
      <c r="C34" s="2501"/>
      <c r="D34" s="2500" t="str">
        <f>IF(D15="нет","Крепежный вкладыш не применяется","")</f>
        <v>Крепежный вкладыш не применяется</v>
      </c>
      <c r="E34" s="2501"/>
      <c r="F34" s="2500" t="str">
        <f>IF(F15="нет","Крепежный вкладыш не применяется","")</f>
        <v>Крепежный вкладыш не применяется</v>
      </c>
      <c r="G34" s="2501"/>
      <c r="H34" s="2502" t="str">
        <f>IF(H15="нет","Крепежный вкладыш не применяется","")</f>
        <v>Крепежный вкладыш не применяется</v>
      </c>
      <c r="I34" s="2503"/>
      <c r="J34" s="1113"/>
      <c r="K34" s="1087"/>
    </row>
    <row r="35" spans="1:11" ht="16.5" customHeight="1" x14ac:dyDescent="0.2">
      <c r="A35" s="1095" t="s">
        <v>986</v>
      </c>
      <c r="B35" s="1114"/>
      <c r="C35" s="1115"/>
      <c r="D35" s="1116"/>
      <c r="E35" s="1117"/>
      <c r="F35" s="1118"/>
      <c r="G35" s="1115"/>
      <c r="H35" s="1118"/>
      <c r="I35" s="1114"/>
      <c r="K35" s="1087"/>
    </row>
    <row r="36" spans="1:11" ht="16.5" customHeight="1" x14ac:dyDescent="0.2">
      <c r="A36" s="1100" t="str">
        <f>IF(B12="нет","-",B12)</f>
        <v>-</v>
      </c>
      <c r="B36" s="1119"/>
      <c r="C36" s="1102">
        <f>IF($B$12=$A36,1,0)</f>
        <v>0</v>
      </c>
      <c r="D36" s="1120"/>
      <c r="E36" s="1102"/>
      <c r="F36" s="1120"/>
      <c r="G36" s="1102"/>
      <c r="H36" s="1120"/>
      <c r="I36" s="1103"/>
      <c r="K36" s="1087"/>
    </row>
    <row r="37" spans="1:11" ht="16.5" customHeight="1" x14ac:dyDescent="0.2">
      <c r="A37" s="1100" t="str">
        <f>IF(D12="нет","-",D12)</f>
        <v>-</v>
      </c>
      <c r="B37" s="1119"/>
      <c r="C37" s="1102"/>
      <c r="D37" s="1120"/>
      <c r="E37" s="1102">
        <f>IF($D$12=$A37,1,0)</f>
        <v>0</v>
      </c>
      <c r="F37" s="1120"/>
      <c r="G37" s="1102"/>
      <c r="H37" s="1120"/>
      <c r="I37" s="1103"/>
      <c r="K37" s="1087"/>
    </row>
    <row r="38" spans="1:11" ht="16.5" customHeight="1" x14ac:dyDescent="0.2">
      <c r="A38" s="1100" t="str">
        <f>IF(F12="нет","-",F12)</f>
        <v>-</v>
      </c>
      <c r="B38" s="1119"/>
      <c r="C38" s="1102"/>
      <c r="D38" s="1120"/>
      <c r="E38" s="1102"/>
      <c r="F38" s="1120"/>
      <c r="G38" s="1102">
        <f>IF($F$12=$A38,1,0)</f>
        <v>0</v>
      </c>
      <c r="H38" s="1120"/>
      <c r="I38" s="1103"/>
      <c r="K38" s="1087"/>
    </row>
    <row r="39" spans="1:11" ht="16.5" customHeight="1" x14ac:dyDescent="0.2">
      <c r="A39" s="1100" t="str">
        <f>IF(H12="нет","-",H12)</f>
        <v>-</v>
      </c>
      <c r="B39" s="1119"/>
      <c r="C39" s="1102"/>
      <c r="D39" s="1120"/>
      <c r="E39" s="1102"/>
      <c r="F39" s="1120"/>
      <c r="G39" s="1102"/>
      <c r="H39" s="1120"/>
      <c r="I39" s="1103">
        <f>IF($H$12=$A39,1,0)</f>
        <v>0</v>
      </c>
      <c r="K39" s="1087"/>
    </row>
    <row r="40" spans="1:11" ht="16.5" customHeight="1" x14ac:dyDescent="0.2">
      <c r="A40" s="1095" t="s">
        <v>637</v>
      </c>
      <c r="B40" s="1114"/>
      <c r="C40" s="1115"/>
      <c r="D40" s="1116"/>
      <c r="E40" s="1115"/>
      <c r="F40" s="1118"/>
      <c r="G40" s="1115"/>
      <c r="H40" s="1118"/>
      <c r="I40" s="1114"/>
      <c r="K40" s="1087"/>
    </row>
    <row r="41" spans="1:11" ht="16.5" customHeight="1" x14ac:dyDescent="0.2">
      <c r="A41" s="1100" t="str">
        <f>IF(B13="нет","-",B13)</f>
        <v>-</v>
      </c>
      <c r="B41" s="1119"/>
      <c r="C41" s="1102">
        <f>IF(B$13=$A41,1,0)</f>
        <v>0</v>
      </c>
      <c r="D41" s="1120"/>
      <c r="E41" s="1102"/>
      <c r="F41" s="1120"/>
      <c r="G41" s="1102"/>
      <c r="H41" s="1120"/>
      <c r="I41" s="1103"/>
      <c r="K41" s="1087"/>
    </row>
    <row r="42" spans="1:11" ht="16.5" customHeight="1" x14ac:dyDescent="0.2">
      <c r="A42" s="1100" t="str">
        <f>IF(D13="нет","-",D13)</f>
        <v>-</v>
      </c>
      <c r="B42" s="1119"/>
      <c r="C42" s="1102"/>
      <c r="D42" s="1120"/>
      <c r="E42" s="1102">
        <f t="shared" ref="E42" si="0">IF(D$13=$A42,1,0)</f>
        <v>0</v>
      </c>
      <c r="F42" s="1120"/>
      <c r="G42" s="1102"/>
      <c r="H42" s="1120"/>
      <c r="I42" s="1103"/>
      <c r="K42" s="1087"/>
    </row>
    <row r="43" spans="1:11" ht="16.5" customHeight="1" x14ac:dyDescent="0.2">
      <c r="A43" s="1100" t="str">
        <f>IF(F13="нет","-",F13)</f>
        <v>-</v>
      </c>
      <c r="B43" s="1119"/>
      <c r="C43" s="1102"/>
      <c r="D43" s="1120"/>
      <c r="E43" s="1102"/>
      <c r="F43" s="1120"/>
      <c r="G43" s="1102">
        <f t="shared" ref="G43" si="1">IF(F$13=$A43,1,0)</f>
        <v>0</v>
      </c>
      <c r="H43" s="1120"/>
      <c r="I43" s="1103"/>
      <c r="K43" s="1087"/>
    </row>
    <row r="44" spans="1:11" ht="16.5" customHeight="1" x14ac:dyDescent="0.2">
      <c r="A44" s="1100" t="str">
        <f>IF(H13="нет","-",H13)</f>
        <v>-</v>
      </c>
      <c r="B44" s="1119"/>
      <c r="C44" s="1102"/>
      <c r="D44" s="1120"/>
      <c r="E44" s="1102"/>
      <c r="F44" s="1120"/>
      <c r="G44" s="1102"/>
      <c r="H44" s="1120"/>
      <c r="I44" s="1103">
        <f t="shared" ref="I44" si="2">IF(H$13=$A44,1,0)</f>
        <v>0</v>
      </c>
      <c r="K44" s="1087"/>
    </row>
    <row r="45" spans="1:11" ht="16.5" customHeight="1" x14ac:dyDescent="0.2">
      <c r="A45" s="1095" t="s">
        <v>987</v>
      </c>
      <c r="B45" s="1114"/>
      <c r="C45" s="1115"/>
      <c r="D45" s="1121"/>
      <c r="E45" s="1122"/>
      <c r="F45" s="1118"/>
      <c r="G45" s="1115"/>
      <c r="H45" s="1118"/>
      <c r="I45" s="1114"/>
      <c r="K45" s="1128"/>
    </row>
    <row r="46" spans="1:11" ht="16.5" customHeight="1" x14ac:dyDescent="0.2">
      <c r="A46" s="1100" t="s">
        <v>1015</v>
      </c>
      <c r="B46" s="1134" t="str">
        <f>IF(VLOOKUP(B12,Данные1!$A$35:$M$41,4,FALSE)="-","-",VLOOKUP(B12,Данные1!$A$35:$M$41,4,FALSE))</f>
        <v>-</v>
      </c>
      <c r="C46" s="1102">
        <f>VLOOKUP(B12,Данные1!$A$35:$M$41,3,FALSE)</f>
        <v>0</v>
      </c>
      <c r="D46" s="1101" t="str">
        <f>IF(VLOOKUP(D12,Данные1!$A$35:$M$41,4,FALSE)="-","-",VLOOKUP(D12,Данные1!$A$35:$M$41,4,FALSE))</f>
        <v>-</v>
      </c>
      <c r="E46" s="1102">
        <f>VLOOKUP(D12,Данные1!$A$35:$M$41,3,FALSE)</f>
        <v>0</v>
      </c>
      <c r="F46" s="1101" t="str">
        <f>IF(VLOOKUP(F12,Данные1!$A$35:$M$41,4,FALSE)="-","-",VLOOKUP(F12,Данные1!$A$35:$M$41,4,FALSE))</f>
        <v>-</v>
      </c>
      <c r="G46" s="1102">
        <f>VLOOKUP(F12,Данные1!$A$35:$M$41,3,FALSE)</f>
        <v>0</v>
      </c>
      <c r="H46" s="1101" t="str">
        <f>IF(VLOOKUP(H12,Данные1!$A$35:$M$41,4,FALSE)="-","-",VLOOKUP(H12,Данные1!$A$35:$M$41,4,FALSE))</f>
        <v>-</v>
      </c>
      <c r="I46" s="1103">
        <f>VLOOKUP(H12,Данные1!$A$35:$M$41,3,FALSE)</f>
        <v>0</v>
      </c>
      <c r="K46" s="1128"/>
    </row>
    <row r="47" spans="1:11" ht="16.5" customHeight="1" x14ac:dyDescent="0.2">
      <c r="A47" s="1100" t="s">
        <v>1016</v>
      </c>
      <c r="B47" s="1101" t="str">
        <f>IF(AND(VLOOKUP(B12,Данные1!$A$35:$M$41,6,FALSE)&gt;=0.1,VLOOKUP(B12,Данные1!$A$35:$M$41,6,FALSE)&lt;=1.8),1.8,IF(AND(VLOOKUP(B12,Данные1!$A$35:$M$41,6,FALSE)&gt;1.8,VLOOKUP(B12,Данные1!$A$35:$M$41,6,FALSE)&lt;=2),2,IF(AND(VLOOKUP(B12,Данные1!$A$35:$M$41,6,FALSE)&gt;2,VLOOKUP(B12,Данные1!$A$35:$M$41,6,FALSE)&lt;=2.5),2.5,IF(AND(VLOOKUP(B12,Данные1!$A$35:$M$41,6,FALSE)&gt;2.5,VLOOKUP(B12,Данные1!$A$35:$M$41,6,FALSE)&lt;=3),3,"-"))))</f>
        <v>-</v>
      </c>
      <c r="C47" s="1123">
        <f>VLOOKUP(B12,Данные1!$A$35:$M$41,5,FALSE)</f>
        <v>0</v>
      </c>
      <c r="D47" s="1101" t="str">
        <f>IF(AND(VLOOKUP(D12,Данные1!$A$35:$M$41,6,FALSE)&gt;=0.1,VLOOKUP(D12,Данные1!$A$35:$M$41,6,FALSE)&lt;=1.8),1.8,IF(AND(VLOOKUP(D12,Данные1!$A$35:$M$41,6,FALSE)&gt;1.8,VLOOKUP(D12,Данные1!$A$35:$M$41,6,FALSE)&lt;=2),2,IF(AND(VLOOKUP(D12,Данные1!$A$35:$M$41,6,FALSE)&gt;2,VLOOKUP(D12,Данные1!$A$35:$M$41,6,FALSE)&lt;=2.5),2.5,IF(AND(VLOOKUP(D12,Данные1!$A$35:$M$41,6,FALSE)&gt;2.5,VLOOKUP(D12,Данные1!$A$35:$M$41,6,FALSE)&lt;=3),3,"-"))))</f>
        <v>-</v>
      </c>
      <c r="E47" s="1123">
        <f>VLOOKUP(D12,Данные1!$A$35:$M$41,5,FALSE)</f>
        <v>0</v>
      </c>
      <c r="F47" s="1101" t="str">
        <f>IF(AND(VLOOKUP(F12,Данные1!$A$35:$M$41,6,FALSE)&gt;=0.1,VLOOKUP(F12,Данные1!$A$35:$M$41,6,FALSE)&lt;=1.8),1.8,IF(AND(VLOOKUP(F12,Данные1!$A$35:$M$41,6,FALSE)&gt;1.8,VLOOKUP(F12,Данные1!$A$35:$M$41,6,FALSE)&lt;=2),2,IF(AND(VLOOKUP(F12,Данные1!$A$35:$M$41,6,FALSE)&gt;2,VLOOKUP(F12,Данные1!$A$35:$M$41,6,FALSE)&lt;=2.5),2.5,IF(AND(VLOOKUP(F12,Данные1!$A$35:$M$41,6,FALSE)&gt;2.5,VLOOKUP(F12,Данные1!$A$35:$M$41,6,FALSE)&lt;=3),3,"-"))))</f>
        <v>-</v>
      </c>
      <c r="G47" s="1123">
        <f>VLOOKUP(F12,Данные1!$A$35:$M$41,5,FALSE)</f>
        <v>0</v>
      </c>
      <c r="H47" s="1101" t="str">
        <f>IF(AND(VLOOKUP(H12,Данные1!$A$35:$M$41,6,FALSE)&gt;=0.1,VLOOKUP(H12,Данные1!$A$35:$M$41,6,FALSE)&lt;=1.8),1.8,IF(AND(VLOOKUP(H12,Данные1!$A$35:$M$41,6,FALSE)&gt;1.8,VLOOKUP(H12,Данные1!$A$35:$M$41,6,FALSE)&lt;=2),2,IF(AND(VLOOKUP(H12,Данные1!$A$35:$M$41,6,FALSE)&gt;2,VLOOKUP(H12,Данные1!$A$35:$M$41,6,FALSE)&lt;=2.5),2.5,IF(AND(VLOOKUP(H12,Данные1!$A$35:$M$41,6,FALSE)&gt;2.5,VLOOKUP(H12,Данные1!$A$35:$M$41,6,FALSE)&lt;=3),3,"-"))))</f>
        <v>-</v>
      </c>
      <c r="I47" s="1101">
        <f>VLOOKUP(H12,Данные1!$A$35:$M$41,5,FALSE)</f>
        <v>0</v>
      </c>
      <c r="K47" s="1128"/>
    </row>
    <row r="48" spans="1:11" ht="16.5" customHeight="1" x14ac:dyDescent="0.2">
      <c r="A48" s="1100" t="s">
        <v>1018</v>
      </c>
      <c r="B48" s="1101" t="str">
        <f>IF(AND(VLOOKUP(B12,Данные1!$A$35:$M$41,8,FALSE)&gt;=0.5, VLOOKUP(B12,Данные1!$A$35:$M$41,8,FALSE)&lt;=2), 2, IF(AND(VLOOKUP(B12,Данные1!$A$35:$M$41,8,FALSE)&gt;2, VLOOKUP(B12,Данные1!$A$35:$M$41,8,FALSE)&lt;=2.5), 2.5, IF(AND(VLOOKUP(B12,Данные1!$A$35:$M$41,8,FALSE)&gt;2.5, VLOOKUP(B12,Данные1!$A$35:$M$41,8,FALSE)&lt;=3), 3,"-")))</f>
        <v>-</v>
      </c>
      <c r="C48" s="1123">
        <f>VLOOKUP(B12,Данные1!$A$35:$M$41,7,FALSE)</f>
        <v>0</v>
      </c>
      <c r="D48" s="1101" t="str">
        <f>IF(AND(VLOOKUP(D12,Данные1!$A$35:$M$41,8,FALSE)&gt;=0.5, VLOOKUP(D12,Данные1!$A$35:$M$41,8,FALSE)&lt;=2), 2, IF(AND(VLOOKUP(D12,Данные1!$A$35:$M$41,8,FALSE)&gt;2, VLOOKUP(D12,Данные1!$A$35:$M$41,8,FALSE)&lt;=2.5), 2.5, IF(AND(VLOOKUP(D12,Данные1!$A$35:$M$41,8,FALSE)&gt;2.5, VLOOKUP(D12,Данные1!$A$35:$M$41,8,FALSE)&lt;=3), 3,"-")))</f>
        <v>-</v>
      </c>
      <c r="E48" s="1123">
        <f>VLOOKUP(D12,Данные1!$A$35:$M$41,7,FALSE)</f>
        <v>0</v>
      </c>
      <c r="F48" s="1101" t="str">
        <f>IF(AND(VLOOKUP(F12,Данные1!$A$35:$M$41,8,FALSE)&gt;=0.5, VLOOKUP(F12,Данные1!$A$35:$M$41,8,FALSE)&lt;=2), 2, IF(AND(VLOOKUP(F12,Данные1!$A$35:$M$41,8,FALSE)&gt;2, VLOOKUP(F12,Данные1!$A$35:$M$41,8,FALSE)&lt;=2.5), 2.5, IF(AND(VLOOKUP(F12,Данные1!$A$35:$M$41,8,FALSE)&gt;2.5, VLOOKUP(F12,Данные1!$A$35:$M$41,8,FALSE)&lt;=3), 3,"-")))</f>
        <v>-</v>
      </c>
      <c r="G48" s="1123">
        <f>VLOOKUP(F12,Данные1!$A$35:$M$41,7,FALSE)</f>
        <v>0</v>
      </c>
      <c r="H48" s="1101" t="str">
        <f>IF(AND(VLOOKUP(H12,Данные1!$A$35:$M$41,8,FALSE)&gt;=0.5, VLOOKUP(H12,Данные1!$A$35:$M$41,8,FALSE)&lt;=2), 2, IF(AND(VLOOKUP(H12,Данные1!$A$35:$M$41,8,FALSE)&gt;2, VLOOKUP(H12,Данные1!$A$35:$M$41,8,FALSE)&lt;=2.5), 2.5, IF(AND(VLOOKUP(H12,Данные1!$A$35:$M$41,8,FALSE)&gt;2.5, VLOOKUP(H12,Данные1!$A$35:$M$41,8,FALSE)&lt;=3), 3,"-")))</f>
        <v>-</v>
      </c>
      <c r="I48" s="1101">
        <f>VLOOKUP(H12,Данные1!$A$35:$M$41,7,FALSE)</f>
        <v>0</v>
      </c>
      <c r="K48" s="1128"/>
    </row>
    <row r="49" spans="1:33" ht="16.5" customHeight="1" x14ac:dyDescent="0.2">
      <c r="A49" s="1100" t="s">
        <v>981</v>
      </c>
      <c r="B49" s="1101" t="str">
        <f>IF(C49=0,"-","5,5х19")</f>
        <v>-</v>
      </c>
      <c r="C49" s="1102">
        <f>IF(C46=0,0,C47*4+C48*2+(SUM(C51:C53)*4))</f>
        <v>0</v>
      </c>
      <c r="D49" s="1108" t="str">
        <f>IF(E49=0,"-","5,5х19")</f>
        <v>-</v>
      </c>
      <c r="E49" s="1102">
        <f>IF(E46=0,0,E47*4+E48*2+(SUM(E51:E53)*4))</f>
        <v>0</v>
      </c>
      <c r="F49" s="1108" t="str">
        <f>IF(G49=0,"-","5,5х19")</f>
        <v>-</v>
      </c>
      <c r="G49" s="1102">
        <f>IF(G46=0,0,G47*4+G48*2+(SUM(G51:G53)*4))</f>
        <v>0</v>
      </c>
      <c r="H49" s="1108" t="str">
        <f>IF(I49=0,"-","5,5х19")</f>
        <v>-</v>
      </c>
      <c r="I49" s="1102">
        <f>IF(I46=0,0,I47*4+I48*2+(SUM(I51:I53)*4))</f>
        <v>0</v>
      </c>
      <c r="K49" s="1128"/>
    </row>
    <row r="50" spans="1:33" ht="16.5" customHeight="1" x14ac:dyDescent="0.2">
      <c r="A50" s="1100" t="s">
        <v>982</v>
      </c>
      <c r="B50" s="1107" t="str">
        <f>IF(C50=0,"-","4,2x16")</f>
        <v>-</v>
      </c>
      <c r="C50" s="1102">
        <f>IF(C46=0,0,IF(B15="нет",C46*4,0))</f>
        <v>0</v>
      </c>
      <c r="D50" s="1107" t="str">
        <f>IF(E50=0,"-","4,2x16")</f>
        <v>-</v>
      </c>
      <c r="E50" s="1102">
        <f>IF(E46=0,0,IF(D15="нет",E46*4,0))</f>
        <v>0</v>
      </c>
      <c r="F50" s="1107" t="str">
        <f>IF(G50=0,"-","4,2x16")</f>
        <v>-</v>
      </c>
      <c r="G50" s="1102">
        <f>IF(G46=0,0,IF(F15="нет",G46*4,0))</f>
        <v>0</v>
      </c>
      <c r="H50" s="1107" t="str">
        <f>IF(I50=0,"-","4,2x16")</f>
        <v>-</v>
      </c>
      <c r="I50" s="1101">
        <f>IF(I46=0,0,IF(H15="нет",I46*4,0))</f>
        <v>0</v>
      </c>
      <c r="K50" s="1128"/>
    </row>
    <row r="51" spans="1:33" ht="16.5" customHeight="1" x14ac:dyDescent="0.2">
      <c r="A51" s="1109" t="s">
        <v>988</v>
      </c>
      <c r="B51" s="1101" t="s">
        <v>18</v>
      </c>
      <c r="C51" s="1102">
        <f>VLOOKUP(B12,Данные1!$A$35:$M$41,9,FALSE)</f>
        <v>0</v>
      </c>
      <c r="D51" s="1108" t="s">
        <v>18</v>
      </c>
      <c r="E51" s="1102">
        <f>VLOOKUP(D12,Данные1!$A$35:$M$41,9,FALSE)</f>
        <v>0</v>
      </c>
      <c r="F51" s="1108" t="s">
        <v>18</v>
      </c>
      <c r="G51" s="1102">
        <f>VLOOKUP(F12,Данные1!$A$35:$M$41,9,FALSE)</f>
        <v>0</v>
      </c>
      <c r="H51" s="1108" t="s">
        <v>18</v>
      </c>
      <c r="I51" s="1103">
        <f>VLOOKUP(H12,Данные1!$A$35:$M$41,9,FALSE)</f>
        <v>0</v>
      </c>
      <c r="K51" s="1128"/>
    </row>
    <row r="52" spans="1:33" ht="16.5" customHeight="1" x14ac:dyDescent="0.2">
      <c r="A52" s="1109" t="s">
        <v>989</v>
      </c>
      <c r="B52" s="1101" t="s">
        <v>18</v>
      </c>
      <c r="C52" s="1102">
        <f>VLOOKUP(B12,Данные1!$A$35:$M$41,10,FALSE)</f>
        <v>0</v>
      </c>
      <c r="D52" s="1108" t="s">
        <v>18</v>
      </c>
      <c r="E52" s="1102">
        <f>VLOOKUP(D12,Данные1!$A$35:$M$41,10,FALSE)</f>
        <v>0</v>
      </c>
      <c r="F52" s="1108" t="s">
        <v>18</v>
      </c>
      <c r="G52" s="1102">
        <f>VLOOKUP(F12,Данные1!$A$35:$M$41,10,FALSE)</f>
        <v>0</v>
      </c>
      <c r="H52" s="1108" t="s">
        <v>18</v>
      </c>
      <c r="I52" s="1103">
        <f>VLOOKUP(H12,Данные1!$A$35:$M$41,10,FALSE)</f>
        <v>0</v>
      </c>
      <c r="K52" s="1128"/>
    </row>
    <row r="53" spans="1:33" ht="16.5" customHeight="1" x14ac:dyDescent="0.2">
      <c r="A53" s="1109" t="s">
        <v>990</v>
      </c>
      <c r="B53" s="1101" t="s">
        <v>18</v>
      </c>
      <c r="C53" s="1102">
        <f>VLOOKUP(B12,Данные1!$A$35:$M$41,11,FALSE)</f>
        <v>0</v>
      </c>
      <c r="D53" s="1108" t="s">
        <v>18</v>
      </c>
      <c r="E53" s="1102">
        <f>VLOOKUP(D12,Данные1!$A$35:$M$41,11,FALSE)</f>
        <v>0</v>
      </c>
      <c r="F53" s="1108" t="s">
        <v>18</v>
      </c>
      <c r="G53" s="1102">
        <f>VLOOKUP(F12,Данные1!$A$35:$M$41,11,FALSE)</f>
        <v>0</v>
      </c>
      <c r="H53" s="1108" t="s">
        <v>18</v>
      </c>
      <c r="I53" s="1103">
        <f>VLOOKUP(H12,Данные1!$A$35:$M$41,11,FALSE)</f>
        <v>0</v>
      </c>
      <c r="K53" s="1128"/>
    </row>
    <row r="54" spans="1:33" ht="16.5" customHeight="1" x14ac:dyDescent="0.2">
      <c r="A54" s="1109" t="s">
        <v>1017</v>
      </c>
      <c r="B54" s="1101"/>
      <c r="C54" s="1102">
        <f>IF(B15="да",C47/2,0)*2</f>
        <v>0</v>
      </c>
      <c r="D54" s="1108"/>
      <c r="E54" s="1102">
        <f>IF(D15="да",E47/2,0)*2</f>
        <v>0</v>
      </c>
      <c r="F54" s="1108"/>
      <c r="G54" s="1102">
        <f>IF(F15="да",G47/2,0)*2</f>
        <v>0</v>
      </c>
      <c r="H54" s="1108"/>
      <c r="I54" s="1102">
        <f>IF(H15="да",I47/2,0)*2</f>
        <v>0</v>
      </c>
      <c r="K54" s="1128"/>
    </row>
    <row r="55" spans="1:33" ht="16.5" customHeight="1" x14ac:dyDescent="0.2">
      <c r="A55" s="1095" t="s">
        <v>992</v>
      </c>
      <c r="B55" s="1114"/>
      <c r="C55" s="1115"/>
      <c r="D55" s="1118"/>
      <c r="E55" s="1115"/>
      <c r="F55" s="1118"/>
      <c r="G55" s="1115"/>
      <c r="H55" s="1118"/>
      <c r="I55" s="1114"/>
      <c r="K55" s="1128"/>
    </row>
    <row r="56" spans="1:33" ht="16.5" customHeight="1" x14ac:dyDescent="0.2">
      <c r="A56" s="1100" t="s">
        <v>1015</v>
      </c>
      <c r="B56" s="1101" t="str">
        <f>IF(C56=0,"-",VLOOKUP(B13,Данные1!$A$43:$M$59,4,FALSE))</f>
        <v>-</v>
      </c>
      <c r="C56" s="1102">
        <f>VLOOKUP(B13,Данные1!$A$43:$R$59,3,FALSE)</f>
        <v>0</v>
      </c>
      <c r="D56" s="1101" t="str">
        <f>IF(E56=0,"-",VLOOKUP(D13,Данные1!$A$43:$M$59,4,FALSE))</f>
        <v>-</v>
      </c>
      <c r="E56" s="1102">
        <f>VLOOKUP(D13,Данные1!$A$43:$R$59,3,FALSE)</f>
        <v>0</v>
      </c>
      <c r="F56" s="1101" t="str">
        <f>IF(G56=0,"-",VLOOKUP(F13,Данные1!$A$43:$M$59,4,FALSE))</f>
        <v>-</v>
      </c>
      <c r="G56" s="1102">
        <f>VLOOKUP(F13,Данные1!$A$43:$R$59,3,FALSE)</f>
        <v>0</v>
      </c>
      <c r="H56" s="1101" t="str">
        <f>IF(I56=0,"-",VLOOKUP(H13,Данные1!$A$43:$M$59,4,FALSE))</f>
        <v>-</v>
      </c>
      <c r="I56" s="1103">
        <f>VLOOKUP(H13,Данные1!$A$43:$R$59,3,FALSE)</f>
        <v>0</v>
      </c>
      <c r="K56" s="1128"/>
    </row>
    <row r="57" spans="1:33" ht="16.5" customHeight="1" x14ac:dyDescent="0.2">
      <c r="A57" s="1100" t="s">
        <v>1015</v>
      </c>
      <c r="B57" s="1101" t="str">
        <f>IF(C57=0,"-",VLOOKUP(B13,Данные1!$A$43:$R$59,16,FALSE))</f>
        <v>-</v>
      </c>
      <c r="C57" s="1102">
        <f>VLOOKUP(B13,Данные1!$A$43:$R$59,15,FALSE)</f>
        <v>0</v>
      </c>
      <c r="D57" s="1101" t="str">
        <f>IF(E57=0,"-",VLOOKUP(D13,Данные1!$A$43:$R$59,16,FALSE))</f>
        <v>-</v>
      </c>
      <c r="E57" s="1102">
        <f>VLOOKUP(D13,Данные1!$A$43:$R$59,15,FALSE)</f>
        <v>0</v>
      </c>
      <c r="F57" s="1101" t="str">
        <f>IF(G57=0,"-",VLOOKUP(F13,Данные1!$A$43:$R$59,16,FALSE))</f>
        <v>-</v>
      </c>
      <c r="G57" s="1102">
        <f>VLOOKUP(F13,Данные1!$A$43:$R$59,15,FALSE)</f>
        <v>0</v>
      </c>
      <c r="H57" s="1101" t="str">
        <f>IF(I57=0,"-",VLOOKUP(H13,Данные1!$A$43:$R$59,16,FALSE))</f>
        <v>-</v>
      </c>
      <c r="I57" s="1103">
        <f>VLOOKUP(H13,Данные1!$A$43:$R$59,15,FALSE)</f>
        <v>0</v>
      </c>
      <c r="K57" s="1128"/>
    </row>
    <row r="58" spans="1:33" ht="16.5" customHeight="1" x14ac:dyDescent="0.2">
      <c r="A58" s="1100" t="s">
        <v>1016</v>
      </c>
      <c r="B58" s="1101" t="str">
        <f>IF(B13="нет","-",IF(AND(VLOOKUP(B13,Данные1!$A$43:$M$59,6,FALSE)&gt;=0.1, VLOOKUP(B13,Данные1!$A$43:$M$59,6,FALSE)&lt;=1.8), 1.8, IF(AND(VLOOKUP(B13,Данные1!$A$43:$M$59,6,FALSE)&gt;1.8, VLOOKUP(B13,Данные1!$A$43:$M$59,6,FALSE)&lt;=2), 2, IF(AND(VLOOKUP(B13,Данные1!$A$43:$M$59,6,FALSE)&gt;2, VLOOKUP(B13,Данные1!$A$43:$M$59,6,FALSE)&lt;=2.5), 2.5, IF(AND(VLOOKUP(B13,Данные1!$A$43:$M$59,6,FALSE)&gt;2.5, VLOOKUP(B13,Данные1!$A$43:$M$59,6,FALSE)&lt;=3), 3, "-")))))</f>
        <v>-</v>
      </c>
      <c r="C58" s="1102">
        <f>VLOOKUP(B13,Данные1!$A$43:$R$59,5,FALSE)</f>
        <v>0</v>
      </c>
      <c r="D58" s="1101" t="str">
        <f>IF(D13="нет","-",IF(AND(VLOOKUP(D13,Данные1!$A$43:$M$59,6,FALSE)&gt;=0.1, VLOOKUP(D13,Данные1!$A$43:$M$59,6,FALSE)&lt;=1.8), 1.8, IF(AND(VLOOKUP(D13,Данные1!$A$43:$M$59,6,FALSE)&gt;1.8, VLOOKUP(D13,Данные1!$A$43:$M$59,6,FALSE)&lt;=2), 2, IF(AND(VLOOKUP(D13,Данные1!$A$43:$M$59,6,FALSE)&gt;2, VLOOKUP(D13,Данные1!$A$43:$M$59,6,FALSE)&lt;=2.5), 2.5, IF(AND(VLOOKUP(D13,Данные1!$A$43:$M$59,6,FALSE)&gt;2.5, VLOOKUP(D13,Данные1!$A$43:$M$59,6,FALSE)&lt;=3), 3, "-")))))</f>
        <v>-</v>
      </c>
      <c r="E58" s="1102">
        <f>VLOOKUP(D13,Данные1!$A$43:$R$59,5,FALSE)</f>
        <v>0</v>
      </c>
      <c r="F58" s="1101" t="str">
        <f>IF(F13="нет","-",IF(AND(VLOOKUP(F13,Данные1!$A$43:$M$59,6,FALSE)&gt;=0.1, VLOOKUP(F13,Данные1!$A$43:$M$59,6,FALSE)&lt;=1.8), 1.8, IF(AND(VLOOKUP(F13,Данные1!$A$43:$M$59,6,FALSE)&gt;1.8, VLOOKUP(F13,Данные1!$A$43:$M$59,6,FALSE)&lt;=2), 2, IF(AND(VLOOKUP(F13,Данные1!$A$43:$M$59,6,FALSE)&gt;2, VLOOKUP(F13,Данные1!$A$43:$M$59,6,FALSE)&lt;=2.5), 2.5, IF(AND(VLOOKUP(F13,Данные1!$A$43:$M$59,6,FALSE)&gt;2.5, VLOOKUP(F13,Данные1!$A$43:$M$59,6,FALSE)&lt;=3), 3, "-")))))</f>
        <v>-</v>
      </c>
      <c r="G58" s="1102">
        <f>VLOOKUP(F13,Данные1!$A$43:$R$59,5,FALSE)</f>
        <v>0</v>
      </c>
      <c r="H58" s="1101" t="str">
        <f>IF(H13="нет","-",IF(AND(VLOOKUP(H13,Данные1!$A$43:$M$59,6,FALSE)&gt;=0.1, VLOOKUP(H13,Данные1!$A$43:$M$59,6,FALSE)&lt;=1.8), 1.8, IF(AND(VLOOKUP(H13,Данные1!$A$43:$M$59,6,FALSE)&gt;1.8, VLOOKUP(H13,Данные1!$A$43:$M$59,6,FALSE)&lt;=2), 2, IF(AND(VLOOKUP(H13,Данные1!$A$43:$M$59,6,FALSE)&gt;2, VLOOKUP(H13,Данные1!$A$43:$M$59,6,FALSE)&lt;=2.5), 2.5, IF(AND(VLOOKUP(H13,Данные1!$A$43:$M$59,6,FALSE)&gt;2.5, VLOOKUP(H13,Данные1!$A$43:$M$59,6,FALSE)&lt;=3), 3, "-")))))</f>
        <v>-</v>
      </c>
      <c r="I58" s="1103">
        <f>VLOOKUP(H13,Данные1!$A$43:$R$59,5,FALSE)</f>
        <v>0</v>
      </c>
      <c r="K58" s="1128"/>
      <c r="R58" s="1126"/>
      <c r="S58" s="1085"/>
      <c r="T58" s="1085"/>
      <c r="U58" s="1085"/>
      <c r="V58" s="1085"/>
      <c r="W58" s="1085"/>
      <c r="X58" s="1085"/>
      <c r="Y58" s="1085"/>
      <c r="Z58" s="1135"/>
      <c r="AA58" s="1128"/>
      <c r="AB58" s="1112"/>
      <c r="AC58" s="1112"/>
      <c r="AD58" s="1112"/>
    </row>
    <row r="59" spans="1:33" ht="16.5" customHeight="1" x14ac:dyDescent="0.2">
      <c r="A59" s="1100" t="s">
        <v>1018</v>
      </c>
      <c r="B59" s="1101" t="str">
        <f>IF(AND(VLOOKUP(B13,Данные1!$A$43:$M$59,8,FALSE)&gt;=0.5, VLOOKUP(B13,Данные1!$A$43:$M$59,8,FALSE)&lt;=2), 2, IF(AND(VLOOKUP(B13,Данные1!$A$43:$M$59,8,FALSE)&gt;2, VLOOKUP(B13,Данные1!$A$43:$M$59,8,FALSE)&lt;=2.5), 2.5, IF(AND(VLOOKUP(B13,Данные1!$A$43:$M$59,8,FALSE)&gt;2.5, VLOOKUP(B13,Данные1!$A$43:$M$59,8,FALSE)&lt;=3), 3,"-")))</f>
        <v>-</v>
      </c>
      <c r="C59" s="1102">
        <f>VLOOKUP(B13,Данные1!$A$43:$R$59,7,FALSE)</f>
        <v>0</v>
      </c>
      <c r="D59" s="1101" t="str">
        <f>IF(AND(VLOOKUP(D13,Данные1!$A$43:$M$59,8,FALSE)&gt;=0.5, VLOOKUP(D13,Данные1!$A$43:$M$59,8,FALSE)&lt;=2), 2, IF(AND(VLOOKUP(D13,Данные1!$A$43:$M$59,8,FALSE)&gt;2, VLOOKUP(D13,Данные1!$A$43:$M$59,8,FALSE)&lt;=2.5), 2.5, IF(AND(VLOOKUP(D13,Данные1!$A$43:$M$59,8,FALSE)&gt;2.5, VLOOKUP(D13,Данные1!$A$43:$M$59,8,FALSE)&lt;=3), 3,"-")))</f>
        <v>-</v>
      </c>
      <c r="E59" s="1102">
        <f>VLOOKUP(D13,Данные1!$A$43:$R$59,7,FALSE)</f>
        <v>0</v>
      </c>
      <c r="F59" s="1101" t="str">
        <f>IF(AND(VLOOKUP(F13,Данные1!$A$43:$M$59,8,FALSE)&gt;=0.5, VLOOKUP(F13,Данные1!$A$43:$M$59,8,FALSE)&lt;=2), 2, IF(AND(VLOOKUP(F13,Данные1!$A$43:$M$59,8,FALSE)&gt;2, VLOOKUP(F13,Данные1!$A$43:$M$59,8,FALSE)&lt;=2.5), 2.5, IF(AND(VLOOKUP(F13,Данные1!$A$43:$M$59,8,FALSE)&gt;2.5, VLOOKUP(F13,Данные1!$A$43:$M$59,8,FALSE)&lt;=3), 3,"-")))</f>
        <v>-</v>
      </c>
      <c r="G59" s="1102">
        <f>VLOOKUP(F13,Данные1!$A$43:$R$59,7,FALSE)</f>
        <v>0</v>
      </c>
      <c r="H59" s="1101" t="str">
        <f>IF(AND(VLOOKUP(H13,Данные1!$A$43:$M$59,8,FALSE)&gt;=0.5, VLOOKUP(H13,Данные1!$A$43:$M$59,8,FALSE)&lt;=2), 2, IF(AND(VLOOKUP(H13,Данные1!$A$43:$M$59,8,FALSE)&gt;2, VLOOKUP(H13,Данные1!$A$43:$M$59,8,FALSE)&lt;=2.5), 2.5, IF(AND(VLOOKUP(H13,Данные1!$A$43:$M$59,8,FALSE)&gt;2.5, VLOOKUP(H13,Данные1!$A$43:$M$59,8,FALSE)&lt;=3), 3,"-")))</f>
        <v>-</v>
      </c>
      <c r="I59" s="1103">
        <f>VLOOKUP(H13,Данные1!$A$43:$R$59,7,FALSE)</f>
        <v>0</v>
      </c>
      <c r="K59" s="1128"/>
      <c r="R59" s="1126"/>
      <c r="S59" s="1085"/>
      <c r="T59" s="1085"/>
      <c r="U59" s="1085"/>
      <c r="V59" s="1085"/>
      <c r="W59" s="1085"/>
      <c r="X59" s="1085"/>
      <c r="Y59" s="1085"/>
      <c r="Z59" s="1135"/>
      <c r="AA59" s="1128"/>
      <c r="AB59" s="1112"/>
      <c r="AC59" s="1112"/>
      <c r="AD59" s="1112"/>
    </row>
    <row r="60" spans="1:33" ht="16.5" customHeight="1" x14ac:dyDescent="0.2">
      <c r="A60" s="1100" t="s">
        <v>1018</v>
      </c>
      <c r="B60" s="1101" t="str">
        <f>IF(C60=0,"-",IF(AND(VLOOKUP(B13,Данные1!$A$43:$R$59,18,FALSE)&gt;=0.5, VLOOKUP(B13,Данные1!$A$43:$R$59,18,FALSE)&lt;=2), 2, IF(AND(VLOOKUP(B13,Данные1!$A$43:$R$59,18,FALSE)&gt;2, VLOOKUP(B13,Данные1!$A$43:$R$59,18,FALSE)&lt;=2.5), 2.5, IF(AND(VLOOKUP(B13,Данные1!$A$43:$R$59,18,FALSE)&gt;2.5, VLOOKUP(B13,Данные1!$A$43:$R$59,18,FALSE)&lt;=3), 3,"-"))))</f>
        <v>-</v>
      </c>
      <c r="C60" s="1102">
        <f>VLOOKUP(B13,Данные1!$A$43:$R$59,17,FALSE)</f>
        <v>0</v>
      </c>
      <c r="D60" s="1101" t="str">
        <f>IF(E60=0,"-",IF(AND(VLOOKUP(D13,Данные1!$A$43:$R$59,18,FALSE)&gt;=0.5, VLOOKUP(D13,Данные1!$A$43:$R$59,18,FALSE)&lt;=2), 2, IF(AND(VLOOKUP(D13,Данные1!$A$43:$R$59,18,FALSE)&gt;2, VLOOKUP(D13,Данные1!$A$43:$R$59,18,FALSE)&lt;=2.5), 2.5, IF(AND(VLOOKUP(D13,Данные1!$A$43:$R$59,18,FALSE)&gt;2.5, VLOOKUP(D13,Данные1!$A$43:$R$59,18,FALSE)&lt;=3), 3,"-"))))</f>
        <v>-</v>
      </c>
      <c r="E60" s="1102">
        <f>VLOOKUP(D13,Данные1!$A$43:$R$59,17,FALSE)</f>
        <v>0</v>
      </c>
      <c r="F60" s="1101" t="str">
        <f>IF(G60=0,"-",IF(AND(VLOOKUP(F13,Данные1!$A$43:$R$59,18,FALSE)&gt;=0.5, VLOOKUP(F13,Данные1!$A$43:$R$59,18,FALSE)&lt;=2), 2, IF(AND(VLOOKUP(F13,Данные1!$A$43:$R$59,18,FALSE)&gt;2, VLOOKUP(F13,Данные1!$A$43:$R$59,18,FALSE)&lt;=2.5), 2.5, IF(AND(VLOOKUP(F13,Данные1!$A$43:$R$59,18,FALSE)&gt;2.5, VLOOKUP(F13,Данные1!$A$43:$R$59,18,FALSE)&lt;=3), 3,"-"))))</f>
        <v>-</v>
      </c>
      <c r="G60" s="1102">
        <f>VLOOKUP(F13,Данные1!$A$43:$R$59,17,FALSE)</f>
        <v>0</v>
      </c>
      <c r="H60" s="1101" t="str">
        <f>IF(I60=0,"-",IF(AND(VLOOKUP(H13,Данные1!$A$43:$R$59,18,FALSE)&gt;=0.5, VLOOKUP(H13,Данные1!$A$43:$R$59,18,FALSE)&lt;=2), 2, IF(AND(VLOOKUP(H13,Данные1!$A$43:$R$59,18,FALSE)&gt;2, VLOOKUP(H13,Данные1!$A$43:$R$59,18,FALSE)&lt;=2.5), 2.5, IF(AND(VLOOKUP(H13,Данные1!$A$43:$R$59,18,FALSE)&gt;2.5, VLOOKUP(H13,Данные1!$A$43:$R$59,18,FALSE)&lt;=3), 3,"-"))))</f>
        <v>-</v>
      </c>
      <c r="I60" s="1103">
        <f>VLOOKUP(H13,Данные1!$A$43:$R$59,17,FALSE)</f>
        <v>0</v>
      </c>
      <c r="K60" s="1128"/>
      <c r="R60" s="1126"/>
      <c r="S60" s="1085"/>
      <c r="T60" s="1085"/>
      <c r="U60" s="1085"/>
      <c r="V60" s="1085"/>
      <c r="W60" s="1085"/>
      <c r="X60" s="1085"/>
      <c r="Y60" s="1085"/>
      <c r="Z60" s="1135"/>
      <c r="AA60" s="1128"/>
      <c r="AB60" s="1112"/>
      <c r="AC60" s="1112"/>
      <c r="AD60" s="1112"/>
    </row>
    <row r="61" spans="1:33" ht="16.5" customHeight="1" x14ac:dyDescent="0.2">
      <c r="A61" s="1100" t="s">
        <v>981</v>
      </c>
      <c r="B61" s="1101" t="str">
        <f>IF(C61=0,"-","5,5х19")</f>
        <v>-</v>
      </c>
      <c r="C61" s="1102">
        <f>C58*4+(C59+C60)*4</f>
        <v>0</v>
      </c>
      <c r="D61" s="1101" t="str">
        <f>IF(E61=0,"-","5,5х19")</f>
        <v>-</v>
      </c>
      <c r="E61" s="1102">
        <f>E58*4+(E59+E60)*4</f>
        <v>0</v>
      </c>
      <c r="F61" s="1101" t="str">
        <f>IF(G61=0,"-","5,5х19")</f>
        <v>-</v>
      </c>
      <c r="G61" s="1102">
        <f>G58*4+(G59+G60)*4</f>
        <v>0</v>
      </c>
      <c r="H61" s="1101" t="str">
        <f>IF(I61=0,"-","5,5х19")</f>
        <v>-</v>
      </c>
      <c r="I61" s="1103">
        <f>I58*4+(I59+I60)*4</f>
        <v>0</v>
      </c>
      <c r="K61" s="1128"/>
      <c r="R61" s="1126"/>
      <c r="S61" s="1085"/>
      <c r="T61" s="1085"/>
      <c r="U61" s="1085"/>
      <c r="V61" s="1085"/>
      <c r="W61" s="1085"/>
      <c r="X61" s="1085"/>
      <c r="Y61" s="1085"/>
      <c r="Z61" s="1112"/>
      <c r="AA61" s="1112"/>
      <c r="AB61" s="1136"/>
      <c r="AC61" s="1112"/>
      <c r="AD61" s="1128"/>
      <c r="AE61" s="1112"/>
      <c r="AF61" s="1112"/>
      <c r="AG61" s="1112"/>
    </row>
    <row r="62" spans="1:33" ht="16.5" customHeight="1" x14ac:dyDescent="0.2">
      <c r="A62" s="1100" t="s">
        <v>982</v>
      </c>
      <c r="B62" s="1107" t="str">
        <f>IF(C62=0,"-","4,2x16")</f>
        <v>-</v>
      </c>
      <c r="C62" s="1102">
        <f>IF(C41=0,0,IF(B15="да",(C56+C57)*C66,(C56+C57)*4+C66*(C56+C57)))</f>
        <v>0</v>
      </c>
      <c r="D62" s="1107" t="str">
        <f>IF(E62=0,"-","4,2x16")</f>
        <v>-</v>
      </c>
      <c r="E62" s="1102">
        <f>IF(E42=0,0,IF(D15="да",(E56+E57)*E66,(E56+E57)*4+E66*(E56+E57)))</f>
        <v>0</v>
      </c>
      <c r="F62" s="1107" t="str">
        <f>IF(G62=0,"-","4,2x16")</f>
        <v>-</v>
      </c>
      <c r="G62" s="1102">
        <f>IF(G43=0,0,IF(F15="да",(G56+G57)*G66,(G56+G57)*4+G66*(G56+G57)))</f>
        <v>0</v>
      </c>
      <c r="H62" s="1107" t="str">
        <f>IF(I62=0,"-","4,2x16")</f>
        <v>-</v>
      </c>
      <c r="I62" s="1103">
        <f>IF(I44=0,0,IF(H15="да",(I56+I57)*I66,(I56+I57)*4+I66*(I56+I57)))</f>
        <v>0</v>
      </c>
      <c r="K62" s="1128"/>
      <c r="R62" s="1126"/>
      <c r="S62" s="1085"/>
      <c r="T62" s="1085"/>
      <c r="U62" s="1085"/>
      <c r="V62" s="1085"/>
      <c r="W62" s="1085"/>
      <c r="X62" s="1085"/>
      <c r="Y62" s="1085"/>
      <c r="Z62" s="1112"/>
      <c r="AA62" s="1112"/>
      <c r="AB62" s="1136"/>
      <c r="AC62" s="1112"/>
      <c r="AD62" s="1128"/>
      <c r="AE62" s="1112"/>
      <c r="AF62" s="1112"/>
      <c r="AG62" s="1112"/>
    </row>
    <row r="63" spans="1:33" ht="16.5" customHeight="1" x14ac:dyDescent="0.2">
      <c r="A63" s="1109" t="s">
        <v>988</v>
      </c>
      <c r="B63" s="1101" t="s">
        <v>18</v>
      </c>
      <c r="C63" s="1102">
        <f>VLOOKUP(B13,Данные1!$A$43:$R$59,9,FALSE)</f>
        <v>0</v>
      </c>
      <c r="D63" s="1101" t="s">
        <v>18</v>
      </c>
      <c r="E63" s="1102">
        <f>VLOOKUP(D13,Данные1!$A$43:$R$59,9,FALSE)</f>
        <v>0</v>
      </c>
      <c r="F63" s="1101" t="s">
        <v>18</v>
      </c>
      <c r="G63" s="1102">
        <f>VLOOKUP(F13,Данные1!$A$43:$R$59,9,FALSE)</f>
        <v>0</v>
      </c>
      <c r="H63" s="1101" t="s">
        <v>18</v>
      </c>
      <c r="I63" s="1103">
        <f>VLOOKUP(H13,Данные1!$A$43:$R$59,9,FALSE)</f>
        <v>0</v>
      </c>
      <c r="K63" s="1128"/>
      <c r="R63" s="1126"/>
      <c r="S63" s="1085"/>
      <c r="T63" s="1085"/>
      <c r="U63" s="1085"/>
      <c r="V63" s="1085"/>
      <c r="W63" s="1085"/>
      <c r="X63" s="1085"/>
      <c r="Y63" s="1085"/>
      <c r="Z63" s="1137"/>
      <c r="AA63" s="1112"/>
      <c r="AB63" s="1136"/>
      <c r="AC63" s="1112"/>
      <c r="AD63" s="1128"/>
      <c r="AE63" s="1112"/>
      <c r="AF63" s="1112"/>
      <c r="AG63" s="1112"/>
    </row>
    <row r="64" spans="1:33" ht="16.5" customHeight="1" x14ac:dyDescent="0.2">
      <c r="A64" s="1109" t="s">
        <v>989</v>
      </c>
      <c r="B64" s="1101" t="s">
        <v>18</v>
      </c>
      <c r="C64" s="1102">
        <f>VLOOKUP(B13,Данные1!$A$43:$R$59,10,FALSE)</f>
        <v>0</v>
      </c>
      <c r="D64" s="1101" t="s">
        <v>18</v>
      </c>
      <c r="E64" s="1102">
        <f>VLOOKUP(D13,Данные1!$A$43:$R$59,10,FALSE)</f>
        <v>0</v>
      </c>
      <c r="F64" s="1101" t="s">
        <v>18</v>
      </c>
      <c r="G64" s="1102">
        <f>VLOOKUP(F13,Данные1!$A$43:$R$59,10,FALSE)</f>
        <v>0</v>
      </c>
      <c r="H64" s="1101" t="s">
        <v>18</v>
      </c>
      <c r="I64" s="1103">
        <f>VLOOKUP(H13,Данные1!$A$43:$R$59,10,FALSE)</f>
        <v>0</v>
      </c>
      <c r="K64" s="1128"/>
      <c r="R64" s="1126"/>
      <c r="S64" s="1085"/>
      <c r="T64" s="1085"/>
      <c r="U64" s="1085"/>
      <c r="V64" s="1085"/>
      <c r="W64" s="1085"/>
      <c r="X64" s="1085"/>
      <c r="Y64" s="1085"/>
      <c r="Z64" s="1137"/>
      <c r="AA64" s="1112"/>
      <c r="AB64" s="1136"/>
      <c r="AC64" s="1112"/>
      <c r="AD64" s="1128"/>
      <c r="AE64" s="1112"/>
      <c r="AF64" s="1112"/>
      <c r="AG64" s="1112"/>
    </row>
    <row r="65" spans="1:33" ht="16.5" customHeight="1" x14ac:dyDescent="0.2">
      <c r="A65" s="1109" t="s">
        <v>990</v>
      </c>
      <c r="B65" s="1101" t="s">
        <v>18</v>
      </c>
      <c r="C65" s="1102">
        <f>VLOOKUP(B13,Данные1!$A$43:$R$59,11,FALSE)</f>
        <v>0</v>
      </c>
      <c r="D65" s="1101" t="s">
        <v>18</v>
      </c>
      <c r="E65" s="1102">
        <f>VLOOKUP(D13,Данные1!$A$43:$R$59,11,FALSE)</f>
        <v>0</v>
      </c>
      <c r="F65" s="1101" t="s">
        <v>18</v>
      </c>
      <c r="G65" s="1102">
        <f>VLOOKUP(F13,Данные1!$A$43:$R$59,11,FALSE)</f>
        <v>0</v>
      </c>
      <c r="H65" s="1101" t="s">
        <v>18</v>
      </c>
      <c r="I65" s="1103">
        <f>VLOOKUP(H13,Данные1!$A$43:$R$59,11,FALSE)</f>
        <v>0</v>
      </c>
      <c r="K65" s="1128"/>
      <c r="R65" s="1126"/>
      <c r="S65" s="1085"/>
      <c r="T65" s="1085"/>
      <c r="U65" s="1085"/>
      <c r="V65" s="1085"/>
      <c r="W65" s="1085"/>
      <c r="X65" s="1085"/>
      <c r="Y65" s="1085"/>
      <c r="Z65" s="1137"/>
      <c r="AA65" s="1112"/>
      <c r="AB65" s="1136"/>
      <c r="AC65" s="1112"/>
      <c r="AD65" s="1128"/>
      <c r="AE65" s="1112"/>
      <c r="AF65" s="1112"/>
      <c r="AG65" s="1112"/>
    </row>
    <row r="66" spans="1:33" ht="16.5" customHeight="1" x14ac:dyDescent="0.2">
      <c r="A66" s="1100" t="s">
        <v>978</v>
      </c>
      <c r="B66" s="1101" t="str">
        <f>B58</f>
        <v>-</v>
      </c>
      <c r="C66" s="1102">
        <f>VLOOKUP(B13,Данные1!$A$43:$S$59,19,FALSE)</f>
        <v>0</v>
      </c>
      <c r="D66" s="1101" t="str">
        <f>D58</f>
        <v>-</v>
      </c>
      <c r="E66" s="1102">
        <f>VLOOKUP(D13,Данные1!$A$43:$S$59,19,FALSE)</f>
        <v>0</v>
      </c>
      <c r="F66" s="1101" t="str">
        <f>F58</f>
        <v>-</v>
      </c>
      <c r="G66" s="1102">
        <f>VLOOKUP(F13,Данные1!$A$43:$S$59,19,FALSE)</f>
        <v>0</v>
      </c>
      <c r="H66" s="1101" t="str">
        <f>H58</f>
        <v>-</v>
      </c>
      <c r="I66" s="1103">
        <f>VLOOKUP(H13,Данные1!$A$43:$S$59,19,FALSE)</f>
        <v>0</v>
      </c>
      <c r="K66" s="1128"/>
      <c r="R66" s="1126"/>
      <c r="S66" s="1085"/>
      <c r="T66" s="1085"/>
      <c r="U66" s="1085"/>
      <c r="V66" s="1085"/>
      <c r="W66" s="1085"/>
      <c r="X66" s="1085"/>
      <c r="Y66" s="1085"/>
      <c r="Z66" s="1137"/>
      <c r="AA66" s="1112"/>
      <c r="AB66" s="1136"/>
      <c r="AC66" s="1112"/>
      <c r="AD66" s="1128"/>
      <c r="AE66" s="1112"/>
      <c r="AF66" s="1112"/>
      <c r="AG66" s="1112"/>
    </row>
    <row r="67" spans="1:33" ht="16.5" customHeight="1" x14ac:dyDescent="0.2">
      <c r="A67" s="1100" t="s">
        <v>1017</v>
      </c>
      <c r="B67" s="1101" t="s">
        <v>18</v>
      </c>
      <c r="C67" s="1102">
        <f>IF(B15="да",C58/2,0)*2</f>
        <v>0</v>
      </c>
      <c r="D67" s="1138" t="s">
        <v>18</v>
      </c>
      <c r="E67" s="1102">
        <f>IF(D15="да",E58/2,0)*2</f>
        <v>0</v>
      </c>
      <c r="F67" s="1138" t="s">
        <v>18</v>
      </c>
      <c r="G67" s="1102">
        <f>IF(F15="да",G58/2,0)*2</f>
        <v>0</v>
      </c>
      <c r="H67" s="1138" t="s">
        <v>18</v>
      </c>
      <c r="I67" s="1102">
        <f>IF(H15="да",I58/2,0)*2</f>
        <v>0</v>
      </c>
      <c r="K67" s="1128"/>
      <c r="R67" s="1126"/>
      <c r="S67" s="1085"/>
      <c r="T67" s="1085"/>
      <c r="U67" s="1085"/>
      <c r="V67" s="1085"/>
      <c r="W67" s="1085"/>
      <c r="X67" s="1085"/>
      <c r="Y67" s="1085"/>
      <c r="Z67" s="1137"/>
      <c r="AA67" s="1112"/>
      <c r="AB67" s="1136"/>
      <c r="AC67" s="1112"/>
      <c r="AD67" s="1128"/>
      <c r="AE67" s="1112"/>
      <c r="AF67" s="1112"/>
      <c r="AG67" s="1112"/>
    </row>
    <row r="68" spans="1:33" ht="16.5" customHeight="1" x14ac:dyDescent="0.2">
      <c r="A68" s="1095" t="s">
        <v>993</v>
      </c>
      <c r="B68" s="1114"/>
      <c r="C68" s="1115"/>
      <c r="D68" s="1118"/>
      <c r="E68" s="1115"/>
      <c r="F68" s="1118"/>
      <c r="G68" s="1115"/>
      <c r="H68" s="1118"/>
      <c r="I68" s="1114"/>
      <c r="K68" s="1128"/>
      <c r="R68" s="1126"/>
      <c r="S68" s="1085"/>
      <c r="T68" s="1085"/>
      <c r="U68" s="1085"/>
      <c r="V68" s="1085"/>
      <c r="W68" s="1085"/>
      <c r="X68" s="1085"/>
      <c r="Y68" s="1085"/>
      <c r="Z68" s="1137"/>
      <c r="AA68" s="1112"/>
      <c r="AB68" s="1136"/>
      <c r="AC68" s="1112"/>
      <c r="AD68" s="1128"/>
      <c r="AE68" s="1112"/>
      <c r="AF68" s="1112"/>
      <c r="AG68" s="1112"/>
    </row>
    <row r="69" spans="1:33" s="1125" customFormat="1" ht="16.5" customHeight="1" x14ac:dyDescent="0.2">
      <c r="A69" s="1109" t="s">
        <v>981</v>
      </c>
      <c r="B69" s="1107" t="s">
        <v>994</v>
      </c>
      <c r="C69" s="1102">
        <f>C29+C49+C61</f>
        <v>0</v>
      </c>
      <c r="D69" s="1107" t="s">
        <v>994</v>
      </c>
      <c r="E69" s="1102">
        <f>E29+E49+E61</f>
        <v>0</v>
      </c>
      <c r="F69" s="1107" t="s">
        <v>994</v>
      </c>
      <c r="G69" s="1102">
        <f>G29+G49+G61</f>
        <v>0</v>
      </c>
      <c r="H69" s="1107" t="s">
        <v>994</v>
      </c>
      <c r="I69" s="1103">
        <f>I29+I49+I61</f>
        <v>0</v>
      </c>
      <c r="K69" s="1139"/>
      <c r="R69" s="1140"/>
      <c r="S69" s="1141"/>
      <c r="T69" s="1141"/>
      <c r="U69" s="1141"/>
      <c r="V69" s="1141"/>
      <c r="W69" s="1141"/>
      <c r="X69" s="1141"/>
      <c r="Y69" s="1141"/>
      <c r="Z69" s="1142"/>
      <c r="AA69" s="1143"/>
      <c r="AB69" s="1144"/>
      <c r="AC69" s="1143"/>
      <c r="AD69" s="1139"/>
      <c r="AE69" s="1143"/>
      <c r="AF69" s="1143"/>
      <c r="AG69" s="1143"/>
    </row>
    <row r="70" spans="1:33" s="1125" customFormat="1" ht="16.5" customHeight="1" x14ac:dyDescent="0.2">
      <c r="A70" s="1100" t="s">
        <v>982</v>
      </c>
      <c r="B70" s="1107" t="s">
        <v>995</v>
      </c>
      <c r="C70" s="1102">
        <f>C30+C50+C62</f>
        <v>0</v>
      </c>
      <c r="D70" s="1107" t="s">
        <v>995</v>
      </c>
      <c r="E70" s="1102">
        <f>E30+E50+E62</f>
        <v>0</v>
      </c>
      <c r="F70" s="1107" t="s">
        <v>995</v>
      </c>
      <c r="G70" s="1102">
        <f>G30+G50+G62</f>
        <v>0</v>
      </c>
      <c r="H70" s="1107" t="s">
        <v>995</v>
      </c>
      <c r="I70" s="1103">
        <f>I30+I50+I62</f>
        <v>0</v>
      </c>
      <c r="K70" s="1139"/>
      <c r="R70" s="1140"/>
      <c r="S70" s="1141"/>
      <c r="T70" s="1141"/>
      <c r="U70" s="1141"/>
      <c r="V70" s="1141"/>
      <c r="W70" s="1141"/>
      <c r="X70" s="1141"/>
      <c r="Y70" s="1141"/>
      <c r="Z70" s="1142"/>
      <c r="AA70" s="1143"/>
      <c r="AB70" s="1144"/>
      <c r="AC70" s="1143"/>
      <c r="AD70" s="1139"/>
      <c r="AE70" s="1143"/>
      <c r="AF70" s="1143"/>
      <c r="AG70" s="1143"/>
    </row>
    <row r="71" spans="1:33" s="1125" customFormat="1" ht="16.5" customHeight="1" x14ac:dyDescent="0.2">
      <c r="A71" s="1100" t="s">
        <v>983</v>
      </c>
      <c r="B71" s="1107" t="s">
        <v>997</v>
      </c>
      <c r="C71" s="1102">
        <f>C31</f>
        <v>0</v>
      </c>
      <c r="D71" s="1107" t="s">
        <v>997</v>
      </c>
      <c r="E71" s="1102">
        <f>E31</f>
        <v>0</v>
      </c>
      <c r="F71" s="1107" t="s">
        <v>997</v>
      </c>
      <c r="G71" s="1102">
        <f>G31</f>
        <v>0</v>
      </c>
      <c r="H71" s="1107" t="s">
        <v>997</v>
      </c>
      <c r="I71" s="1103">
        <f>I31</f>
        <v>0</v>
      </c>
      <c r="K71" s="1139"/>
      <c r="R71" s="1140"/>
      <c r="S71" s="1141"/>
      <c r="T71" s="1141"/>
      <c r="U71" s="1141"/>
      <c r="V71" s="1141"/>
      <c r="W71" s="1141"/>
      <c r="X71" s="1141"/>
      <c r="Y71" s="1141"/>
      <c r="Z71" s="1142"/>
      <c r="AA71" s="1143"/>
      <c r="AB71" s="1144"/>
      <c r="AC71" s="1143"/>
      <c r="AD71" s="1139"/>
      <c r="AE71" s="1143"/>
      <c r="AF71" s="1143"/>
      <c r="AG71" s="1143"/>
    </row>
    <row r="72" spans="1:33" s="1125" customFormat="1" ht="16.5" customHeight="1" x14ac:dyDescent="0.2">
      <c r="A72" s="1100" t="s">
        <v>984</v>
      </c>
      <c r="B72" s="1107"/>
      <c r="C72" s="1102">
        <f>C32</f>
        <v>0</v>
      </c>
      <c r="D72" s="1107"/>
      <c r="E72" s="1102">
        <f>E32</f>
        <v>0</v>
      </c>
      <c r="F72" s="1107"/>
      <c r="G72" s="1102">
        <f>G32</f>
        <v>0</v>
      </c>
      <c r="H72" s="1107"/>
      <c r="I72" s="1103">
        <f>I32</f>
        <v>0</v>
      </c>
      <c r="K72" s="1139"/>
      <c r="R72" s="1140"/>
      <c r="S72" s="1141"/>
      <c r="T72" s="1141"/>
      <c r="U72" s="1141"/>
      <c r="V72" s="1141"/>
      <c r="W72" s="1141"/>
      <c r="X72" s="1141"/>
      <c r="Y72" s="1141"/>
      <c r="Z72" s="1142"/>
      <c r="AA72" s="1143"/>
      <c r="AB72" s="1144"/>
      <c r="AC72" s="1143"/>
      <c r="AD72" s="1139"/>
      <c r="AE72" s="1143"/>
      <c r="AF72" s="1143"/>
      <c r="AG72" s="1143"/>
    </row>
    <row r="73" spans="1:33" ht="16.5" customHeight="1" x14ac:dyDescent="0.2">
      <c r="A73" s="1145"/>
      <c r="B73" s="1146"/>
      <c r="C73" s="1147"/>
      <c r="D73" s="1146"/>
      <c r="E73" s="1147"/>
      <c r="F73" s="1146"/>
      <c r="G73" s="1147"/>
      <c r="H73" s="1146"/>
      <c r="I73" s="1147"/>
      <c r="K73" s="1128"/>
      <c r="R73" s="1126"/>
      <c r="S73" s="1085"/>
      <c r="T73" s="1085"/>
      <c r="U73" s="1085"/>
      <c r="V73" s="1085"/>
      <c r="W73" s="1085"/>
      <c r="X73" s="1085"/>
      <c r="Y73" s="1085"/>
      <c r="Z73" s="1137"/>
      <c r="AA73" s="1112"/>
      <c r="AB73" s="1136"/>
      <c r="AC73" s="1112"/>
      <c r="AD73" s="1128"/>
      <c r="AE73" s="1112"/>
      <c r="AF73" s="1112"/>
      <c r="AG73" s="1112"/>
    </row>
    <row r="74" spans="1:33" ht="12.75" customHeight="1" x14ac:dyDescent="0.2">
      <c r="A74" s="1129"/>
      <c r="B74" s="1127"/>
      <c r="C74" s="1128"/>
      <c r="D74" s="1128"/>
      <c r="E74" s="1128"/>
      <c r="F74" s="1128"/>
      <c r="G74" s="1128"/>
      <c r="H74" s="1128"/>
      <c r="I74" s="1128"/>
      <c r="J74" s="1129"/>
      <c r="K74" s="1128"/>
    </row>
    <row r="75" spans="1:33" ht="19.5" customHeight="1" x14ac:dyDescent="0.2">
      <c r="A75" s="2516" t="s">
        <v>999</v>
      </c>
      <c r="B75" s="2516"/>
      <c r="C75" s="2516"/>
      <c r="D75" s="2516"/>
      <c r="E75" s="2516"/>
      <c r="F75" s="2516"/>
      <c r="G75" s="2516"/>
      <c r="H75" s="2516"/>
      <c r="I75" s="2516"/>
      <c r="J75" s="1129"/>
      <c r="K75" s="1128"/>
    </row>
    <row r="76" spans="1:33" ht="27" customHeight="1" x14ac:dyDescent="0.2">
      <c r="A76" s="2488" t="s">
        <v>1000</v>
      </c>
      <c r="B76" s="2489"/>
      <c r="C76" s="2489"/>
      <c r="D76" s="2489"/>
      <c r="E76" s="2489"/>
      <c r="F76" s="2489"/>
      <c r="G76" s="2489"/>
      <c r="H76" s="2489"/>
      <c r="I76" s="2490"/>
      <c r="J76" s="1126"/>
    </row>
    <row r="77" spans="1:33" ht="27" customHeight="1" x14ac:dyDescent="0.2">
      <c r="A77" s="2488" t="s">
        <v>1001</v>
      </c>
      <c r="B77" s="2489"/>
      <c r="C77" s="2489"/>
      <c r="D77" s="2489"/>
      <c r="E77" s="2489"/>
      <c r="F77" s="2489"/>
      <c r="G77" s="2489"/>
      <c r="H77" s="2489"/>
      <c r="I77" s="2490"/>
      <c r="J77" s="1126"/>
    </row>
    <row r="78" spans="1:33" ht="27" customHeight="1" x14ac:dyDescent="0.2">
      <c r="A78" s="2491" t="s">
        <v>1002</v>
      </c>
      <c r="B78" s="2492"/>
      <c r="C78" s="2492"/>
      <c r="D78" s="2492"/>
      <c r="E78" s="2492"/>
      <c r="F78" s="2492"/>
      <c r="G78" s="2492"/>
      <c r="H78" s="2492"/>
      <c r="I78" s="2493"/>
      <c r="J78" s="1130"/>
      <c r="K78" s="1130"/>
    </row>
    <row r="79" spans="1:33" ht="27" customHeight="1" x14ac:dyDescent="0.2">
      <c r="A79" s="2491" t="s">
        <v>1003</v>
      </c>
      <c r="B79" s="2492"/>
      <c r="C79" s="2492"/>
      <c r="D79" s="2492"/>
      <c r="E79" s="2492"/>
      <c r="F79" s="2492"/>
      <c r="G79" s="2492"/>
      <c r="H79" s="2492"/>
      <c r="I79" s="2493"/>
      <c r="J79" s="1148"/>
      <c r="K79" s="1148"/>
    </row>
    <row r="80" spans="1:33" ht="27" customHeight="1" x14ac:dyDescent="0.2">
      <c r="A80" s="2491" t="s">
        <v>1004</v>
      </c>
      <c r="B80" s="2492"/>
      <c r="C80" s="2492"/>
      <c r="D80" s="2492"/>
      <c r="E80" s="2492"/>
      <c r="F80" s="2492"/>
      <c r="G80" s="2492"/>
      <c r="H80" s="2492"/>
      <c r="I80" s="2493"/>
      <c r="J80" s="1131"/>
      <c r="K80" s="1149"/>
      <c r="L80" s="1150"/>
      <c r="M80" s="1150"/>
    </row>
    <row r="81" spans="1:13" ht="27" customHeight="1" x14ac:dyDescent="0.2">
      <c r="A81" s="2491" t="s">
        <v>1005</v>
      </c>
      <c r="B81" s="2492"/>
      <c r="C81" s="2492"/>
      <c r="D81" s="2492"/>
      <c r="E81" s="2492"/>
      <c r="F81" s="2492"/>
      <c r="G81" s="2492"/>
      <c r="H81" s="2492"/>
      <c r="I81" s="2493"/>
      <c r="J81" s="1131"/>
      <c r="K81" s="1149"/>
      <c r="L81" s="1150"/>
      <c r="M81" s="1150"/>
    </row>
    <row r="82" spans="1:13" ht="27" customHeight="1" x14ac:dyDescent="0.2">
      <c r="A82" s="2491" t="s">
        <v>1006</v>
      </c>
      <c r="B82" s="2492"/>
      <c r="C82" s="2492"/>
      <c r="D82" s="2492"/>
      <c r="E82" s="2492"/>
      <c r="F82" s="2492"/>
      <c r="G82" s="2492"/>
      <c r="H82" s="2492"/>
      <c r="I82" s="2493"/>
      <c r="J82" s="1131"/>
      <c r="K82" s="1149"/>
    </row>
    <row r="83" spans="1:13" ht="272.25" customHeight="1" x14ac:dyDescent="0.2">
      <c r="A83" s="2485" t="s">
        <v>1007</v>
      </c>
      <c r="B83" s="2486"/>
      <c r="C83" s="2486"/>
      <c r="D83" s="2486"/>
      <c r="E83" s="2486"/>
      <c r="F83" s="2486"/>
      <c r="G83" s="2486"/>
      <c r="H83" s="2486"/>
      <c r="I83" s="2487"/>
      <c r="J83" s="1131"/>
      <c r="K83" s="1149"/>
      <c r="L83" s="1150"/>
      <c r="M83" s="1150"/>
    </row>
    <row r="84" spans="1:13" ht="15" customHeight="1" x14ac:dyDescent="0.2">
      <c r="A84" s="1126"/>
      <c r="B84" s="1126"/>
      <c r="C84" s="1126"/>
      <c r="D84" s="1126"/>
      <c r="E84" s="1126"/>
      <c r="F84" s="1126"/>
      <c r="G84" s="1126"/>
      <c r="H84" s="1126"/>
      <c r="I84" s="1126"/>
      <c r="J84" s="1131"/>
      <c r="K84" s="1149"/>
    </row>
    <row r="85" spans="1:13" ht="12.75" customHeight="1" x14ac:dyDescent="0.2">
      <c r="A85" s="1126"/>
      <c r="B85" s="1126"/>
      <c r="C85" s="1126"/>
      <c r="D85" s="1126"/>
      <c r="E85" s="1126"/>
      <c r="F85" s="1126"/>
      <c r="G85" s="1126"/>
      <c r="H85" s="1126"/>
      <c r="I85" s="1126"/>
      <c r="J85" s="1131"/>
      <c r="K85" s="1149"/>
      <c r="L85" s="1150"/>
      <c r="M85" s="1150"/>
    </row>
    <row r="86" spans="1:13" ht="12.75" customHeight="1" x14ac:dyDescent="0.2">
      <c r="A86" s="1126"/>
      <c r="B86" s="1126"/>
      <c r="C86" s="1126"/>
      <c r="D86" s="1126"/>
      <c r="E86" s="1126"/>
      <c r="F86" s="1126"/>
      <c r="G86" s="1126"/>
      <c r="H86" s="1126"/>
      <c r="I86" s="1126"/>
      <c r="J86" s="1131"/>
      <c r="K86" s="1149"/>
    </row>
    <row r="87" spans="1:13" ht="15" customHeight="1" x14ac:dyDescent="0.2">
      <c r="A87" s="1126"/>
      <c r="B87" s="1126"/>
      <c r="C87" s="1126"/>
      <c r="D87" s="1126"/>
      <c r="E87" s="1126"/>
      <c r="F87" s="1126"/>
      <c r="G87" s="1126"/>
      <c r="H87" s="1126"/>
      <c r="I87" s="1126"/>
      <c r="J87" s="1131"/>
      <c r="K87" s="1149"/>
      <c r="L87" s="1150"/>
      <c r="M87" s="1150"/>
    </row>
    <row r="88" spans="1:13" ht="12.75" customHeight="1" x14ac:dyDescent="0.2">
      <c r="A88" s="1126"/>
      <c r="B88" s="1126"/>
      <c r="C88" s="1126"/>
      <c r="D88" s="1126"/>
      <c r="E88" s="1126"/>
      <c r="F88" s="1126"/>
      <c r="G88" s="1126"/>
      <c r="H88" s="1126"/>
      <c r="I88" s="1126"/>
      <c r="J88" s="1131"/>
      <c r="K88" s="1149"/>
    </row>
    <row r="89" spans="1:13" ht="12.75" customHeight="1" x14ac:dyDescent="0.2">
      <c r="A89" s="1126"/>
      <c r="B89" s="1126"/>
      <c r="C89" s="1126"/>
      <c r="D89" s="1126"/>
      <c r="E89" s="1126"/>
      <c r="F89" s="1126"/>
      <c r="G89" s="1126"/>
      <c r="H89" s="1126"/>
      <c r="I89" s="1126"/>
      <c r="J89" s="1131"/>
      <c r="K89" s="1149"/>
    </row>
    <row r="90" spans="1:13" ht="12.75" customHeight="1" x14ac:dyDescent="0.2">
      <c r="A90" s="1126"/>
      <c r="B90" s="1126"/>
      <c r="C90" s="1126"/>
      <c r="D90" s="1126"/>
      <c r="E90" s="1126"/>
      <c r="F90" s="1126"/>
      <c r="G90" s="1126"/>
      <c r="H90" s="1126"/>
      <c r="I90" s="1126"/>
      <c r="J90" s="1131"/>
      <c r="K90" s="1149"/>
    </row>
    <row r="91" spans="1:13" ht="12.75" customHeight="1" x14ac:dyDescent="0.2">
      <c r="A91" s="1085"/>
      <c r="B91" s="1085"/>
      <c r="C91" s="1085"/>
      <c r="D91" s="1085"/>
      <c r="E91" s="1085"/>
      <c r="F91" s="1085"/>
      <c r="G91" s="1085"/>
      <c r="H91" s="1085"/>
      <c r="I91" s="1085"/>
      <c r="J91" s="1131"/>
      <c r="K91" s="1149"/>
      <c r="L91" s="1150"/>
      <c r="M91" s="1150"/>
    </row>
    <row r="92" spans="1:13" ht="12.75" customHeight="1" x14ac:dyDescent="0.2">
      <c r="A92" s="1126"/>
      <c r="B92" s="1126"/>
      <c r="C92" s="1126"/>
      <c r="D92" s="1126"/>
      <c r="E92" s="1126"/>
      <c r="F92" s="1126"/>
      <c r="G92" s="1126"/>
      <c r="H92" s="1126"/>
      <c r="I92" s="1126"/>
      <c r="J92" s="1131"/>
      <c r="K92" s="1149"/>
    </row>
    <row r="93" spans="1:13" ht="12.75" customHeight="1" x14ac:dyDescent="0.2">
      <c r="A93" s="1126"/>
      <c r="B93" s="1126"/>
      <c r="C93" s="1126"/>
      <c r="D93" s="1126"/>
      <c r="E93" s="1126"/>
      <c r="F93" s="1126"/>
      <c r="G93" s="1126"/>
      <c r="H93" s="1126"/>
      <c r="I93" s="1126"/>
      <c r="J93" s="1131"/>
      <c r="K93" s="1149"/>
      <c r="L93" s="1150"/>
      <c r="M93" s="1150"/>
    </row>
    <row r="94" spans="1:13" ht="12.75" customHeight="1" x14ac:dyDescent="0.2">
      <c r="A94" s="1151"/>
      <c r="B94" s="1151"/>
      <c r="C94" s="1151"/>
      <c r="D94" s="1151"/>
      <c r="E94" s="1151"/>
      <c r="F94" s="1151"/>
      <c r="G94" s="1151"/>
      <c r="H94" s="1151"/>
      <c r="I94" s="1151"/>
      <c r="J94" s="1131"/>
      <c r="K94" s="1149"/>
      <c r="L94" s="1150"/>
      <c r="M94" s="1150"/>
    </row>
    <row r="95" spans="1:13" x14ac:dyDescent="0.2">
      <c r="A95" s="1151"/>
      <c r="B95" s="1151"/>
      <c r="C95" s="1151"/>
      <c r="D95" s="1151"/>
      <c r="E95" s="1151"/>
      <c r="F95" s="1151"/>
      <c r="G95" s="1151"/>
      <c r="H95" s="1151"/>
      <c r="I95" s="1151"/>
      <c r="J95" s="1131"/>
      <c r="K95" s="1149"/>
    </row>
    <row r="96" spans="1:13" x14ac:dyDescent="0.2">
      <c r="A96" s="1151"/>
      <c r="B96" s="1151"/>
      <c r="C96" s="1151"/>
      <c r="D96" s="1151"/>
      <c r="E96" s="1151"/>
      <c r="F96" s="1151"/>
      <c r="G96" s="1151"/>
      <c r="H96" s="1151"/>
      <c r="I96" s="1151"/>
      <c r="J96" s="1131"/>
      <c r="K96" s="1149"/>
    </row>
    <row r="97" spans="1:11" x14ac:dyDescent="0.2">
      <c r="A97" s="1151"/>
      <c r="B97" s="1151"/>
      <c r="C97" s="1151"/>
      <c r="D97" s="1151"/>
      <c r="E97" s="1151"/>
      <c r="F97" s="1151"/>
      <c r="G97" s="1151"/>
      <c r="H97" s="1151"/>
      <c r="I97" s="1151"/>
      <c r="J97" s="1131"/>
      <c r="K97" s="1149"/>
    </row>
    <row r="98" spans="1:11" x14ac:dyDescent="0.2">
      <c r="A98" s="1151"/>
      <c r="B98" s="1151"/>
      <c r="C98" s="1151"/>
      <c r="D98" s="1151"/>
      <c r="E98" s="1151"/>
      <c r="F98" s="1151"/>
      <c r="G98" s="1151"/>
      <c r="H98" s="1151"/>
      <c r="I98" s="1151"/>
      <c r="J98" s="1131"/>
      <c r="K98" s="1149"/>
    </row>
    <row r="99" spans="1:11" ht="12.75" customHeight="1" x14ac:dyDescent="0.2">
      <c r="A99" s="1151"/>
      <c r="B99" s="1151"/>
      <c r="C99" s="1151"/>
      <c r="D99" s="1151"/>
      <c r="E99" s="1151"/>
      <c r="F99" s="1151"/>
      <c r="G99" s="1151"/>
      <c r="H99" s="1151"/>
      <c r="I99" s="1151"/>
      <c r="J99" s="1152"/>
      <c r="K99" s="1128"/>
    </row>
    <row r="100" spans="1:11" x14ac:dyDescent="0.2">
      <c r="A100" s="1151"/>
      <c r="B100" s="1151"/>
      <c r="C100" s="1151"/>
      <c r="D100" s="1151"/>
      <c r="E100" s="1151"/>
      <c r="F100" s="1151"/>
      <c r="G100" s="1151"/>
      <c r="H100" s="1151"/>
      <c r="I100" s="1151"/>
      <c r="J100" s="1153"/>
      <c r="K100" s="1128"/>
    </row>
    <row r="101" spans="1:11" ht="15" customHeight="1" x14ac:dyDescent="0.2">
      <c r="A101" s="1151"/>
      <c r="B101" s="1151"/>
      <c r="C101" s="1151"/>
      <c r="D101" s="1151"/>
      <c r="E101" s="1151"/>
      <c r="F101" s="1151"/>
      <c r="G101" s="1151"/>
      <c r="H101" s="1151"/>
      <c r="I101" s="1151"/>
      <c r="J101" s="1153"/>
      <c r="K101" s="1128"/>
    </row>
    <row r="102" spans="1:11" ht="12.75" customHeight="1" x14ac:dyDescent="0.2">
      <c r="A102" s="1151"/>
      <c r="B102" s="1151"/>
      <c r="C102" s="1151"/>
      <c r="D102" s="1151"/>
      <c r="E102" s="1151"/>
      <c r="F102" s="1151"/>
      <c r="G102" s="1151"/>
      <c r="H102" s="1151"/>
      <c r="I102" s="1151"/>
      <c r="J102" s="1153"/>
    </row>
    <row r="103" spans="1:11" ht="12.75" customHeight="1" x14ac:dyDescent="0.2">
      <c r="A103" s="1151"/>
      <c r="B103" s="1151"/>
      <c r="C103" s="1151"/>
      <c r="D103" s="1151"/>
      <c r="E103" s="1151"/>
      <c r="F103" s="1151"/>
      <c r="G103" s="1151"/>
      <c r="H103" s="1151"/>
      <c r="I103" s="1151"/>
      <c r="J103" s="1153"/>
    </row>
    <row r="104" spans="1:11" x14ac:dyDescent="0.2">
      <c r="A104" s="1151"/>
      <c r="B104" s="1151"/>
      <c r="C104" s="1151"/>
      <c r="D104" s="1151"/>
      <c r="E104" s="1151"/>
      <c r="F104" s="1151"/>
      <c r="G104" s="1151"/>
      <c r="H104" s="1151"/>
      <c r="I104" s="1151"/>
      <c r="J104" s="1153"/>
    </row>
    <row r="105" spans="1:11" ht="18" customHeight="1" x14ac:dyDescent="0.2">
      <c r="A105" s="1151"/>
      <c r="B105" s="1151"/>
      <c r="C105" s="1151"/>
      <c r="D105" s="1151"/>
      <c r="E105" s="1151"/>
      <c r="F105" s="1151"/>
      <c r="G105" s="1151"/>
      <c r="H105" s="1151"/>
      <c r="I105" s="1151"/>
      <c r="J105" s="1126"/>
      <c r="K105" s="1154"/>
    </row>
    <row r="106" spans="1:11" ht="12.75" customHeight="1" x14ac:dyDescent="0.2">
      <c r="A106" s="1151"/>
      <c r="B106" s="1151"/>
      <c r="C106" s="1151"/>
      <c r="D106" s="1151"/>
      <c r="E106" s="1151"/>
      <c r="F106" s="1151"/>
      <c r="G106" s="1151"/>
      <c r="H106" s="1151"/>
      <c r="I106" s="1151"/>
      <c r="J106" s="1126"/>
      <c r="K106" s="1155"/>
    </row>
    <row r="107" spans="1:11" ht="12.75" customHeight="1" x14ac:dyDescent="0.2">
      <c r="A107" s="1151"/>
      <c r="B107" s="1151"/>
      <c r="C107" s="1151"/>
      <c r="D107" s="1151"/>
      <c r="E107" s="1151"/>
      <c r="F107" s="1151"/>
      <c r="G107" s="1151"/>
      <c r="H107" s="1151"/>
      <c r="I107" s="1151"/>
      <c r="J107" s="1126"/>
      <c r="K107" s="1155"/>
    </row>
    <row r="108" spans="1:11" ht="12.75" customHeight="1" x14ac:dyDescent="0.2">
      <c r="A108" s="1151"/>
      <c r="B108" s="1151"/>
      <c r="C108" s="1151"/>
      <c r="D108" s="1151"/>
      <c r="E108" s="1151"/>
      <c r="F108" s="1151"/>
      <c r="G108" s="1151"/>
      <c r="H108" s="1151"/>
      <c r="I108" s="1151"/>
      <c r="J108" s="1126"/>
      <c r="K108" s="1155"/>
    </row>
    <row r="109" spans="1:11" ht="12.75" customHeight="1" x14ac:dyDescent="0.2">
      <c r="A109" s="1151"/>
      <c r="B109" s="1151"/>
      <c r="C109" s="1151"/>
      <c r="D109" s="1151"/>
      <c r="E109" s="1151"/>
      <c r="F109" s="1151"/>
      <c r="G109" s="1151"/>
      <c r="H109" s="1151"/>
      <c r="I109" s="1151"/>
      <c r="J109" s="1126"/>
      <c r="K109" s="1155"/>
    </row>
    <row r="110" spans="1:11" ht="12.75" customHeight="1" x14ac:dyDescent="0.2">
      <c r="A110" s="1151"/>
      <c r="B110" s="1151"/>
      <c r="C110" s="1151"/>
      <c r="D110" s="1151"/>
      <c r="E110" s="1151"/>
      <c r="F110" s="1151"/>
      <c r="G110" s="1151"/>
      <c r="H110" s="1151"/>
      <c r="I110" s="1151"/>
      <c r="J110" s="1126"/>
      <c r="K110" s="1156"/>
    </row>
    <row r="111" spans="1:11" ht="11.25" customHeight="1" x14ac:dyDescent="0.2">
      <c r="A111" s="1151"/>
      <c r="B111" s="1151"/>
      <c r="C111" s="1151"/>
      <c r="D111" s="1151"/>
      <c r="E111" s="1151"/>
      <c r="F111" s="1151"/>
      <c r="G111" s="1151"/>
      <c r="H111" s="1151"/>
      <c r="I111" s="1151"/>
      <c r="J111" s="1126"/>
    </row>
    <row r="112" spans="1:11" ht="12.75" customHeight="1" x14ac:dyDescent="0.2">
      <c r="A112" s="1151"/>
      <c r="B112" s="1151"/>
      <c r="C112" s="1151"/>
      <c r="D112" s="1151"/>
      <c r="E112" s="1151"/>
      <c r="F112" s="1151"/>
      <c r="G112" s="1151"/>
      <c r="H112" s="1151"/>
      <c r="I112" s="1151"/>
    </row>
    <row r="113" spans="1:11" ht="12.75" customHeight="1" x14ac:dyDescent="0.2">
      <c r="A113" s="1151"/>
      <c r="B113" s="1151"/>
      <c r="C113" s="1151"/>
      <c r="D113" s="1151"/>
      <c r="E113" s="1151"/>
      <c r="F113" s="1151"/>
      <c r="G113" s="1151"/>
      <c r="H113" s="1151"/>
      <c r="I113" s="1151"/>
      <c r="K113" s="1157"/>
    </row>
    <row r="114" spans="1:11" ht="12.75" customHeight="1" x14ac:dyDescent="0.2">
      <c r="K114" s="1158"/>
    </row>
    <row r="115" spans="1:11" ht="12.75" customHeight="1" x14ac:dyDescent="0.2">
      <c r="A115" s="1151"/>
      <c r="B115" s="1151"/>
      <c r="C115" s="1151"/>
      <c r="D115" s="1151"/>
      <c r="E115" s="1151"/>
      <c r="F115" s="1151"/>
      <c r="G115" s="1151"/>
      <c r="H115" s="1151"/>
    </row>
    <row r="116" spans="1:11" x14ac:dyDescent="0.2">
      <c r="A116" s="1151"/>
      <c r="B116" s="1151"/>
      <c r="C116" s="1151"/>
      <c r="D116" s="1151"/>
      <c r="E116" s="1151"/>
      <c r="F116" s="1151"/>
      <c r="G116" s="1151"/>
      <c r="H116" s="1151"/>
    </row>
    <row r="117" spans="1:11" x14ac:dyDescent="0.2">
      <c r="A117" s="1151"/>
      <c r="B117" s="1151"/>
      <c r="C117" s="1151"/>
      <c r="D117" s="1151"/>
      <c r="E117" s="1151"/>
      <c r="F117" s="1151"/>
      <c r="G117" s="1151"/>
      <c r="H117" s="1151"/>
    </row>
    <row r="118" spans="1:11" x14ac:dyDescent="0.2">
      <c r="A118" s="1151"/>
      <c r="B118" s="1151"/>
      <c r="C118" s="1151"/>
      <c r="D118" s="1151"/>
      <c r="E118" s="1151"/>
      <c r="F118" s="1151"/>
      <c r="G118" s="1151"/>
      <c r="H118" s="1151"/>
    </row>
    <row r="119" spans="1:11" ht="12.75" customHeight="1" x14ac:dyDescent="0.2">
      <c r="A119" s="1151"/>
      <c r="B119" s="1151"/>
      <c r="C119" s="1151"/>
      <c r="D119" s="1151"/>
      <c r="E119" s="1151"/>
      <c r="F119" s="1151"/>
      <c r="G119" s="1151"/>
      <c r="H119" s="1151"/>
    </row>
    <row r="120" spans="1:11" ht="12.75" customHeight="1" x14ac:dyDescent="0.2">
      <c r="A120" s="1151"/>
      <c r="B120" s="1151"/>
      <c r="C120" s="1151"/>
      <c r="D120" s="1151"/>
      <c r="E120" s="1151"/>
      <c r="F120" s="1151"/>
      <c r="G120" s="1151"/>
      <c r="H120" s="1151"/>
    </row>
    <row r="121" spans="1:11" ht="12.75" customHeight="1" x14ac:dyDescent="0.2">
      <c r="A121" s="1151"/>
      <c r="B121" s="1151"/>
      <c r="C121" s="1151"/>
      <c r="D121" s="1151"/>
      <c r="E121" s="1151"/>
      <c r="F121" s="1151"/>
      <c r="G121" s="1151"/>
      <c r="H121" s="1151"/>
    </row>
    <row r="122" spans="1:11" ht="12.75" customHeight="1" x14ac:dyDescent="0.2">
      <c r="A122" s="1151"/>
      <c r="B122" s="1151"/>
      <c r="C122" s="1151"/>
      <c r="D122" s="1151"/>
      <c r="E122" s="1151"/>
      <c r="F122" s="1151"/>
      <c r="G122" s="1151"/>
      <c r="H122" s="1151"/>
    </row>
    <row r="123" spans="1:11" ht="12.75" customHeight="1" x14ac:dyDescent="0.2">
      <c r="A123" s="1151"/>
      <c r="B123" s="1151"/>
      <c r="C123" s="1151"/>
      <c r="D123" s="1151"/>
      <c r="E123" s="1151"/>
      <c r="F123" s="1151"/>
      <c r="G123" s="1151"/>
      <c r="H123" s="1151"/>
    </row>
    <row r="124" spans="1:11" ht="12.75" customHeight="1" x14ac:dyDescent="0.2">
      <c r="A124" s="1145"/>
      <c r="B124" s="1145"/>
      <c r="C124" s="1145"/>
      <c r="D124" s="1145"/>
      <c r="E124" s="1145"/>
      <c r="F124" s="1145"/>
      <c r="G124" s="1145"/>
      <c r="H124" s="1145"/>
    </row>
    <row r="125" spans="1:11" ht="12.75" customHeight="1" x14ac:dyDescent="0.2">
      <c r="A125" s="1145"/>
      <c r="B125" s="1145"/>
      <c r="C125" s="1145"/>
      <c r="D125" s="1145"/>
      <c r="E125" s="1145"/>
      <c r="F125" s="1145"/>
      <c r="G125" s="1145"/>
      <c r="H125" s="1145"/>
    </row>
    <row r="126" spans="1:11" ht="12.75" customHeight="1" x14ac:dyDescent="0.2">
      <c r="A126" s="1145"/>
      <c r="B126" s="1145"/>
      <c r="C126" s="1145"/>
      <c r="D126" s="1145"/>
      <c r="E126" s="1145"/>
      <c r="F126" s="1145"/>
      <c r="G126" s="1145"/>
      <c r="H126" s="1145"/>
    </row>
    <row r="127" spans="1:11" ht="12.75" customHeight="1" x14ac:dyDescent="0.2">
      <c r="A127" s="1145"/>
      <c r="B127" s="1145"/>
      <c r="C127" s="1145"/>
      <c r="D127" s="1145"/>
      <c r="E127" s="1145"/>
      <c r="F127" s="1145"/>
      <c r="G127" s="1145"/>
      <c r="H127" s="1145"/>
    </row>
    <row r="128" spans="1:11" ht="12.75" customHeight="1" x14ac:dyDescent="0.2">
      <c r="H128" s="1126"/>
    </row>
    <row r="129" spans="1:11" ht="12.75" customHeight="1" x14ac:dyDescent="0.2">
      <c r="H129" s="1126"/>
    </row>
    <row r="130" spans="1:11" x14ac:dyDescent="0.2">
      <c r="H130" s="1126"/>
    </row>
    <row r="131" spans="1:11" x14ac:dyDescent="0.2">
      <c r="A131" s="1084"/>
      <c r="B131" s="1084"/>
      <c r="H131" s="1126"/>
    </row>
    <row r="132" spans="1:11" x14ac:dyDescent="0.2">
      <c r="A132" s="1084"/>
      <c r="B132" s="1159"/>
      <c r="H132" s="1126"/>
    </row>
    <row r="133" spans="1:11" x14ac:dyDescent="0.2">
      <c r="A133" s="1084"/>
      <c r="B133" s="1159"/>
      <c r="H133" s="1126"/>
    </row>
    <row r="134" spans="1:11" x14ac:dyDescent="0.2">
      <c r="A134" s="1152"/>
      <c r="B134" s="1159"/>
      <c r="H134" s="1126"/>
    </row>
    <row r="135" spans="1:11" x14ac:dyDescent="0.2">
      <c r="A135" s="1152"/>
      <c r="B135" s="1159"/>
      <c r="H135" s="1126"/>
    </row>
    <row r="136" spans="1:11" x14ac:dyDescent="0.2">
      <c r="H136" s="1126"/>
    </row>
    <row r="137" spans="1:11" x14ac:dyDescent="0.2">
      <c r="A137" s="1160"/>
      <c r="H137" s="1126"/>
    </row>
    <row r="138" spans="1:11" x14ac:dyDescent="0.2">
      <c r="A138" s="1160"/>
      <c r="H138" s="1126"/>
    </row>
    <row r="139" spans="1:11" x14ac:dyDescent="0.2">
      <c r="A139" s="1160"/>
      <c r="H139" s="1126"/>
    </row>
    <row r="140" spans="1:11" x14ac:dyDescent="0.2">
      <c r="A140" s="1160"/>
      <c r="H140" s="1126"/>
    </row>
    <row r="141" spans="1:11" x14ac:dyDescent="0.2">
      <c r="A141" s="1160"/>
      <c r="H141" s="1126"/>
    </row>
    <row r="142" spans="1:11" x14ac:dyDescent="0.2">
      <c r="A142" s="1160"/>
      <c r="H142" s="1126"/>
    </row>
    <row r="143" spans="1:11" x14ac:dyDescent="0.2">
      <c r="A143" s="1160"/>
      <c r="H143" s="1126"/>
    </row>
    <row r="144" spans="1:11" s="1161" customFormat="1" x14ac:dyDescent="0.2">
      <c r="C144" s="1162"/>
      <c r="D144" s="1162"/>
      <c r="E144" s="1162"/>
      <c r="F144" s="1162"/>
      <c r="G144" s="1162"/>
      <c r="H144" s="1163"/>
      <c r="I144" s="1162"/>
      <c r="J144" s="1162"/>
      <c r="K144" s="1162"/>
    </row>
    <row r="145" spans="1:11" s="1161" customFormat="1" x14ac:dyDescent="0.2">
      <c r="A145" s="1164"/>
      <c r="B145" s="2515"/>
      <c r="C145" s="2515"/>
      <c r="D145" s="1162"/>
      <c r="E145" s="1162"/>
      <c r="F145" s="1162"/>
      <c r="G145" s="1162"/>
      <c r="H145" s="1163"/>
      <c r="I145" s="1162"/>
      <c r="J145" s="1162"/>
      <c r="K145" s="1162"/>
    </row>
    <row r="146" spans="1:11" x14ac:dyDescent="0.2">
      <c r="A146" s="1162"/>
      <c r="B146" s="1162"/>
      <c r="C146" s="1162"/>
    </row>
    <row r="147" spans="1:11" s="1161" customFormat="1" x14ac:dyDescent="0.2">
      <c r="A147" s="1165"/>
      <c r="B147" s="1165"/>
      <c r="C147" s="1165"/>
      <c r="D147" s="1162"/>
      <c r="E147" s="1162"/>
      <c r="F147" s="1162"/>
      <c r="G147" s="1162"/>
      <c r="H147" s="1163"/>
      <c r="I147" s="1162"/>
      <c r="J147" s="1162"/>
      <c r="K147" s="1162"/>
    </row>
    <row r="148" spans="1:11" s="1161" customFormat="1" x14ac:dyDescent="0.2">
      <c r="A148" s="1164"/>
      <c r="B148" s="1165"/>
      <c r="C148" s="1165"/>
      <c r="D148" s="1162"/>
      <c r="E148" s="1162"/>
      <c r="F148" s="1162"/>
      <c r="G148" s="1162"/>
      <c r="H148" s="1163"/>
      <c r="I148" s="1162"/>
      <c r="J148" s="1162"/>
      <c r="K148" s="1162"/>
    </row>
    <row r="149" spans="1:11" s="1161" customFormat="1" x14ac:dyDescent="0.2">
      <c r="A149" s="1164"/>
      <c r="B149" s="1165"/>
      <c r="C149" s="1165"/>
      <c r="D149" s="1162"/>
      <c r="E149" s="1162"/>
      <c r="F149" s="1162"/>
      <c r="G149" s="1162"/>
      <c r="H149" s="1162"/>
      <c r="I149" s="1162"/>
      <c r="J149" s="1162"/>
      <c r="K149" s="1162"/>
    </row>
    <row r="150" spans="1:11" s="1161" customFormat="1" x14ac:dyDescent="0.2">
      <c r="A150" s="1164"/>
      <c r="B150" s="1165"/>
      <c r="C150" s="1165"/>
      <c r="D150" s="1162"/>
      <c r="E150" s="1162"/>
      <c r="F150" s="1162"/>
      <c r="G150" s="1162"/>
      <c r="H150" s="1162"/>
      <c r="I150" s="1162"/>
      <c r="J150" s="1162"/>
      <c r="K150" s="1162"/>
    </row>
    <row r="151" spans="1:11" s="1161" customFormat="1" x14ac:dyDescent="0.2">
      <c r="A151" s="1164"/>
      <c r="B151" s="1165"/>
      <c r="C151" s="1165"/>
      <c r="D151" s="1162"/>
      <c r="E151" s="1162"/>
      <c r="F151" s="1162"/>
      <c r="G151" s="1162"/>
      <c r="H151" s="1162"/>
      <c r="I151" s="1162"/>
      <c r="J151" s="1162"/>
      <c r="K151" s="1162"/>
    </row>
    <row r="152" spans="1:11" s="1161" customFormat="1" x14ac:dyDescent="0.2">
      <c r="A152" s="1164"/>
      <c r="B152" s="1165"/>
      <c r="C152" s="1165"/>
      <c r="D152" s="1162"/>
      <c r="E152" s="1162"/>
      <c r="F152" s="1162"/>
      <c r="G152" s="1162"/>
      <c r="H152" s="1162"/>
      <c r="I152" s="1162"/>
      <c r="J152" s="1162"/>
      <c r="K152" s="1162"/>
    </row>
    <row r="153" spans="1:11" s="1161" customFormat="1" x14ac:dyDescent="0.2">
      <c r="A153" s="1164"/>
      <c r="B153" s="1165"/>
      <c r="C153" s="1165"/>
      <c r="D153" s="1162"/>
      <c r="E153" s="1162"/>
      <c r="F153" s="1162"/>
      <c r="G153" s="1162"/>
      <c r="H153" s="1162"/>
      <c r="I153" s="1162"/>
      <c r="J153" s="1162"/>
      <c r="K153" s="1162"/>
    </row>
    <row r="154" spans="1:11" s="1161" customFormat="1" x14ac:dyDescent="0.2">
      <c r="A154" s="1164"/>
      <c r="B154" s="1165"/>
      <c r="C154" s="1165"/>
      <c r="D154" s="1162"/>
      <c r="E154" s="1162"/>
      <c r="F154" s="1162"/>
      <c r="G154" s="1162"/>
      <c r="H154" s="1162"/>
      <c r="I154" s="1162"/>
      <c r="J154" s="1162"/>
      <c r="K154" s="1162"/>
    </row>
    <row r="155" spans="1:11" s="1161" customFormat="1" x14ac:dyDescent="0.2">
      <c r="A155" s="1164"/>
      <c r="B155" s="1165"/>
      <c r="C155" s="1165"/>
      <c r="D155" s="1162"/>
      <c r="E155" s="1162"/>
      <c r="F155" s="1162"/>
      <c r="G155" s="1162"/>
      <c r="H155" s="1162"/>
      <c r="I155" s="1162"/>
      <c r="J155" s="1162"/>
      <c r="K155" s="1162"/>
    </row>
    <row r="156" spans="1:11" s="1161" customFormat="1" x14ac:dyDescent="0.2">
      <c r="A156" s="1164"/>
      <c r="B156" s="1165"/>
      <c r="C156" s="1165"/>
      <c r="D156" s="1162"/>
      <c r="E156" s="1162"/>
      <c r="F156" s="1162"/>
      <c r="G156" s="1162"/>
      <c r="H156" s="1162"/>
      <c r="I156" s="1162"/>
      <c r="J156" s="1162"/>
      <c r="K156" s="1162"/>
    </row>
    <row r="157" spans="1:11" s="1161" customFormat="1" x14ac:dyDescent="0.2">
      <c r="A157" s="1164"/>
      <c r="B157" s="1165"/>
      <c r="C157" s="1165"/>
      <c r="D157" s="1162"/>
      <c r="E157" s="1162"/>
      <c r="F157" s="1162"/>
      <c r="G157" s="1162"/>
      <c r="H157" s="1162"/>
      <c r="I157" s="1162"/>
      <c r="J157" s="1162"/>
      <c r="K157" s="1162"/>
    </row>
    <row r="158" spans="1:11" s="1161" customFormat="1" x14ac:dyDescent="0.2">
      <c r="A158" s="1164"/>
      <c r="B158" s="1165"/>
      <c r="C158" s="1165"/>
      <c r="D158" s="1162"/>
      <c r="E158" s="1162"/>
      <c r="F158" s="1162"/>
      <c r="G158" s="1162"/>
      <c r="H158" s="1162"/>
      <c r="I158" s="1162"/>
      <c r="J158" s="1162"/>
      <c r="K158" s="1162"/>
    </row>
    <row r="159" spans="1:11" s="1161" customFormat="1" x14ac:dyDescent="0.2">
      <c r="A159" s="1164"/>
      <c r="B159" s="1165"/>
      <c r="C159" s="1165"/>
      <c r="D159" s="1162"/>
      <c r="E159" s="1162"/>
      <c r="F159" s="1162"/>
      <c r="G159" s="1162"/>
      <c r="H159" s="1162"/>
      <c r="I159" s="1162"/>
      <c r="J159" s="1162"/>
      <c r="K159" s="1162"/>
    </row>
    <row r="160" spans="1:11" s="1161" customFormat="1" x14ac:dyDescent="0.2">
      <c r="A160" s="1164"/>
      <c r="B160" s="1165"/>
      <c r="C160" s="1165"/>
      <c r="D160" s="1162"/>
      <c r="E160" s="1162"/>
      <c r="F160" s="1162"/>
      <c r="G160" s="1162"/>
      <c r="H160" s="1162"/>
      <c r="I160" s="1162"/>
      <c r="J160" s="1162"/>
      <c r="K160" s="1162"/>
    </row>
    <row r="161" spans="1:11" s="1161" customFormat="1" x14ac:dyDescent="0.2">
      <c r="A161" s="1164"/>
      <c r="B161" s="1165"/>
      <c r="C161" s="1165"/>
      <c r="D161" s="1162"/>
      <c r="E161" s="1162"/>
      <c r="F161" s="1162"/>
      <c r="G161" s="1162"/>
      <c r="H161" s="1162"/>
      <c r="I161" s="1162"/>
      <c r="J161" s="1162"/>
      <c r="K161" s="1162"/>
    </row>
    <row r="162" spans="1:11" s="1161" customFormat="1" x14ac:dyDescent="0.2">
      <c r="A162" s="1164"/>
      <c r="B162" s="1165"/>
      <c r="C162" s="1165"/>
      <c r="D162" s="1162"/>
      <c r="E162" s="1162"/>
      <c r="F162" s="1162"/>
      <c r="G162" s="1162"/>
      <c r="H162" s="1162"/>
      <c r="I162" s="1162"/>
      <c r="J162" s="1162"/>
      <c r="K162" s="1162"/>
    </row>
    <row r="163" spans="1:11" s="1161" customFormat="1" x14ac:dyDescent="0.2">
      <c r="A163" s="1164"/>
      <c r="B163" s="1165"/>
      <c r="C163" s="1165"/>
      <c r="D163" s="1162"/>
      <c r="E163" s="1162"/>
      <c r="F163" s="1162"/>
      <c r="G163" s="1162"/>
      <c r="H163" s="1162"/>
      <c r="I163" s="1162"/>
      <c r="J163" s="1162"/>
      <c r="K163" s="1162"/>
    </row>
    <row r="164" spans="1:11" s="1161" customFormat="1" x14ac:dyDescent="0.2">
      <c r="A164" s="1164"/>
      <c r="B164" s="1165"/>
      <c r="C164" s="1165"/>
      <c r="D164" s="1162"/>
      <c r="E164" s="1162"/>
      <c r="F164" s="1162"/>
      <c r="G164" s="1162"/>
      <c r="H164" s="1162"/>
      <c r="I164" s="1162"/>
      <c r="J164" s="1162"/>
      <c r="K164" s="1162"/>
    </row>
    <row r="165" spans="1:11" s="1161" customFormat="1" x14ac:dyDescent="0.2">
      <c r="A165" s="1164"/>
      <c r="B165" s="1165"/>
      <c r="C165" s="1165"/>
      <c r="D165" s="1162"/>
      <c r="E165" s="1162"/>
      <c r="F165" s="1162"/>
      <c r="G165" s="1162"/>
      <c r="H165" s="1162"/>
      <c r="I165" s="1162"/>
      <c r="J165" s="1162"/>
      <c r="K165" s="1162"/>
    </row>
    <row r="166" spans="1:11" s="1161" customFormat="1" x14ac:dyDescent="0.2">
      <c r="A166" s="1164"/>
      <c r="B166" s="1165"/>
      <c r="C166" s="1165"/>
      <c r="D166" s="1162"/>
      <c r="E166" s="1162"/>
      <c r="F166" s="1162"/>
      <c r="G166" s="1162"/>
      <c r="H166" s="1162"/>
      <c r="I166" s="1162"/>
      <c r="J166" s="1162"/>
      <c r="K166" s="1162"/>
    </row>
    <row r="167" spans="1:11" s="1161" customFormat="1" x14ac:dyDescent="0.2">
      <c r="A167" s="1164"/>
      <c r="B167" s="1165"/>
      <c r="C167" s="1165"/>
      <c r="D167" s="1162"/>
      <c r="E167" s="1162"/>
      <c r="F167" s="1162"/>
      <c r="G167" s="1162"/>
      <c r="H167" s="1162"/>
      <c r="I167" s="1162"/>
      <c r="J167" s="1162"/>
      <c r="K167" s="1162"/>
    </row>
    <row r="168" spans="1:11" s="1161" customFormat="1" x14ac:dyDescent="0.2">
      <c r="A168" s="1164"/>
      <c r="B168" s="1165"/>
      <c r="C168" s="1165"/>
      <c r="D168" s="1162"/>
      <c r="E168" s="1162"/>
      <c r="F168" s="1162"/>
      <c r="G168" s="1162"/>
      <c r="H168" s="1162"/>
      <c r="I168" s="1162"/>
      <c r="J168" s="1162"/>
      <c r="K168" s="1162"/>
    </row>
    <row r="169" spans="1:11" s="1161" customFormat="1" x14ac:dyDescent="0.2">
      <c r="A169" s="1164"/>
      <c r="B169" s="1165"/>
      <c r="C169" s="1165"/>
      <c r="D169" s="1162"/>
      <c r="E169" s="1162"/>
      <c r="F169" s="1162"/>
      <c r="G169" s="1162"/>
      <c r="H169" s="1162"/>
      <c r="I169" s="1162"/>
      <c r="J169" s="1162"/>
      <c r="K169" s="1162"/>
    </row>
    <row r="170" spans="1:11" s="1161" customFormat="1" x14ac:dyDescent="0.2">
      <c r="A170" s="1164"/>
      <c r="B170" s="1165"/>
      <c r="C170" s="1165"/>
      <c r="D170" s="1162"/>
      <c r="E170" s="1162"/>
      <c r="F170" s="1162"/>
      <c r="G170" s="1162"/>
      <c r="H170" s="1162"/>
      <c r="I170" s="1162"/>
      <c r="J170" s="1162"/>
      <c r="K170" s="1162"/>
    </row>
    <row r="171" spans="1:11" s="1161" customFormat="1" x14ac:dyDescent="0.2">
      <c r="A171" s="1164"/>
      <c r="B171" s="1165"/>
      <c r="C171" s="1165"/>
      <c r="D171" s="1162"/>
      <c r="E171" s="1162"/>
      <c r="F171" s="1162"/>
      <c r="G171" s="1162"/>
      <c r="H171" s="1162"/>
      <c r="I171" s="1162"/>
      <c r="J171" s="1162"/>
      <c r="K171" s="1162"/>
    </row>
    <row r="172" spans="1:11" s="1161" customFormat="1" x14ac:dyDescent="0.2">
      <c r="A172" s="1164"/>
      <c r="B172" s="1165"/>
      <c r="C172" s="1165"/>
      <c r="D172" s="1162"/>
      <c r="E172" s="1162"/>
      <c r="F172" s="1162"/>
      <c r="G172" s="1162"/>
      <c r="H172" s="1162"/>
      <c r="I172" s="1162"/>
      <c r="J172" s="1162"/>
      <c r="K172" s="1162"/>
    </row>
    <row r="173" spans="1:11" s="1161" customFormat="1" x14ac:dyDescent="0.2">
      <c r="A173" s="1164"/>
      <c r="B173" s="1165"/>
      <c r="C173" s="1165"/>
      <c r="D173" s="1162"/>
      <c r="E173" s="1162"/>
      <c r="F173" s="1162"/>
      <c r="G173" s="1162"/>
      <c r="H173" s="1162"/>
      <c r="I173" s="1162"/>
      <c r="J173" s="1162"/>
      <c r="K173" s="1162"/>
    </row>
    <row r="174" spans="1:11" s="1161" customFormat="1" x14ac:dyDescent="0.2">
      <c r="A174" s="1164"/>
      <c r="B174" s="1162"/>
      <c r="C174" s="1162"/>
      <c r="D174" s="1162"/>
      <c r="E174" s="1162"/>
      <c r="F174" s="1162"/>
      <c r="G174" s="1162"/>
      <c r="H174" s="1162"/>
      <c r="I174" s="1162"/>
      <c r="J174" s="1162"/>
      <c r="K174" s="1162"/>
    </row>
    <row r="175" spans="1:11" s="1161" customFormat="1" x14ac:dyDescent="0.2">
      <c r="A175" s="1164"/>
      <c r="B175" s="1162"/>
      <c r="C175" s="1162"/>
      <c r="D175" s="1162"/>
      <c r="E175" s="1162"/>
      <c r="F175" s="1162"/>
      <c r="G175" s="1162"/>
      <c r="H175" s="1162"/>
      <c r="I175" s="1162"/>
      <c r="J175" s="1162"/>
      <c r="K175" s="1162"/>
    </row>
    <row r="176" spans="1:11" s="1168" customFormat="1" x14ac:dyDescent="0.2">
      <c r="A176" s="1166"/>
      <c r="B176" s="1167"/>
      <c r="C176" s="1167"/>
      <c r="D176" s="1167"/>
      <c r="E176" s="1167"/>
      <c r="F176" s="1167"/>
      <c r="G176" s="1167"/>
      <c r="H176" s="1167"/>
      <c r="I176" s="1167"/>
      <c r="J176" s="1163"/>
      <c r="K176" s="1163"/>
    </row>
    <row r="177" spans="1:11" s="1161" customFormat="1" x14ac:dyDescent="0.2">
      <c r="A177" s="1162"/>
      <c r="B177" s="1164"/>
      <c r="C177" s="1164"/>
      <c r="D177" s="1164"/>
      <c r="E177" s="1164"/>
      <c r="F177" s="1164"/>
      <c r="G177" s="1164"/>
      <c r="H177" s="1165"/>
      <c r="I177" s="1165"/>
      <c r="J177" s="1162"/>
      <c r="K177" s="1162"/>
    </row>
    <row r="178" spans="1:11" s="1161" customFormat="1" x14ac:dyDescent="0.2">
      <c r="A178" s="1162"/>
      <c r="B178" s="1164"/>
      <c r="C178" s="1164"/>
      <c r="D178" s="1164"/>
      <c r="E178" s="1164"/>
      <c r="F178" s="1164"/>
      <c r="G178" s="1164"/>
      <c r="H178" s="1165"/>
      <c r="I178" s="1165"/>
      <c r="J178" s="1162"/>
      <c r="K178" s="1162"/>
    </row>
    <row r="179" spans="1:11" s="1161" customFormat="1" x14ac:dyDescent="0.2">
      <c r="A179" s="1162"/>
      <c r="B179" s="1164"/>
      <c r="C179" s="1164"/>
      <c r="D179" s="1164"/>
      <c r="E179" s="1164"/>
      <c r="F179" s="1164"/>
      <c r="G179" s="1164"/>
      <c r="H179" s="1165"/>
      <c r="I179" s="1165"/>
      <c r="J179" s="1162"/>
      <c r="K179" s="1162"/>
    </row>
    <row r="180" spans="1:11" s="1161" customFormat="1" x14ac:dyDescent="0.2">
      <c r="A180" s="1167"/>
      <c r="B180" s="1167"/>
      <c r="C180" s="1167"/>
      <c r="D180" s="1167"/>
      <c r="E180" s="1167"/>
      <c r="F180" s="1167"/>
      <c r="G180" s="1167"/>
      <c r="H180" s="1167"/>
      <c r="I180" s="1167"/>
      <c r="J180" s="1162"/>
      <c r="K180" s="1162"/>
    </row>
    <row r="181" spans="1:11" s="1161" customFormat="1" x14ac:dyDescent="0.2">
      <c r="A181" s="1162"/>
      <c r="B181" s="1164"/>
      <c r="C181" s="1164"/>
      <c r="D181" s="1164"/>
      <c r="E181" s="1164"/>
      <c r="F181" s="1164"/>
      <c r="G181" s="1164"/>
      <c r="H181" s="1165"/>
      <c r="I181" s="1165"/>
      <c r="J181" s="1162"/>
      <c r="K181" s="1162"/>
    </row>
    <row r="182" spans="1:11" s="1161" customFormat="1" x14ac:dyDescent="0.2">
      <c r="A182" s="1162"/>
      <c r="B182" s="1164"/>
      <c r="C182" s="1164"/>
      <c r="D182" s="1164"/>
      <c r="E182" s="1164"/>
      <c r="F182" s="1164"/>
      <c r="G182" s="1164"/>
      <c r="H182" s="1165"/>
      <c r="I182" s="1165"/>
      <c r="J182" s="1162"/>
      <c r="K182" s="1162"/>
    </row>
    <row r="183" spans="1:11" s="1161" customFormat="1" x14ac:dyDescent="0.2">
      <c r="A183" s="1162"/>
      <c r="B183" s="1164"/>
      <c r="C183" s="1164"/>
      <c r="D183" s="1164"/>
      <c r="E183" s="1164"/>
      <c r="F183" s="1164"/>
      <c r="G183" s="1164"/>
      <c r="H183" s="1165"/>
      <c r="I183" s="1165"/>
      <c r="J183" s="1162"/>
      <c r="K183" s="1162"/>
    </row>
    <row r="184" spans="1:11" s="1161" customFormat="1" x14ac:dyDescent="0.2">
      <c r="A184" s="1162"/>
      <c r="B184" s="1164"/>
      <c r="C184" s="1164"/>
      <c r="D184" s="1164"/>
      <c r="E184" s="1164"/>
      <c r="F184" s="1164"/>
      <c r="G184" s="1164"/>
      <c r="H184" s="1165"/>
      <c r="I184" s="1165"/>
      <c r="J184" s="1162"/>
      <c r="K184" s="1162"/>
    </row>
    <row r="185" spans="1:11" s="1161" customFormat="1" x14ac:dyDescent="0.2">
      <c r="A185" s="1162"/>
      <c r="B185" s="1164"/>
      <c r="C185" s="1164"/>
      <c r="D185" s="1164"/>
      <c r="E185" s="1164"/>
      <c r="F185" s="1164"/>
      <c r="G185" s="1164"/>
      <c r="H185" s="1165"/>
      <c r="I185" s="1165"/>
      <c r="J185" s="1162"/>
      <c r="K185" s="1162"/>
    </row>
    <row r="186" spans="1:11" s="1161" customFormat="1" x14ac:dyDescent="0.2">
      <c r="A186" s="1162"/>
      <c r="B186" s="1164"/>
      <c r="C186" s="1164"/>
      <c r="D186" s="1164"/>
      <c r="E186" s="1164"/>
      <c r="F186" s="1164"/>
      <c r="G186" s="1164"/>
      <c r="H186" s="1165"/>
      <c r="I186" s="1165"/>
      <c r="J186" s="1162"/>
      <c r="K186" s="1162"/>
    </row>
    <row r="187" spans="1:11" s="1161" customFormat="1" x14ac:dyDescent="0.2">
      <c r="A187" s="1162"/>
      <c r="B187" s="1164"/>
      <c r="C187" s="1164"/>
      <c r="D187" s="1164"/>
      <c r="E187" s="1164"/>
      <c r="F187" s="1164"/>
      <c r="G187" s="1164"/>
      <c r="H187" s="1165"/>
      <c r="I187" s="1165"/>
      <c r="J187" s="1162"/>
      <c r="K187" s="1162"/>
    </row>
    <row r="188" spans="1:11" s="1161" customFormat="1" x14ac:dyDescent="0.2">
      <c r="A188" s="1162"/>
      <c r="B188" s="1164"/>
      <c r="C188" s="1164"/>
      <c r="D188" s="1164"/>
      <c r="E188" s="1164"/>
      <c r="F188" s="1164"/>
      <c r="G188" s="1164"/>
      <c r="H188" s="1165"/>
      <c r="I188" s="1165"/>
      <c r="J188" s="1162"/>
      <c r="K188" s="1162"/>
    </row>
    <row r="189" spans="1:11" s="1161" customFormat="1" x14ac:dyDescent="0.2">
      <c r="A189" s="1162"/>
      <c r="B189" s="1164"/>
      <c r="C189" s="1164"/>
      <c r="D189" s="1164"/>
      <c r="E189" s="1164"/>
      <c r="F189" s="1164"/>
      <c r="G189" s="1164"/>
      <c r="H189" s="1165"/>
      <c r="I189" s="1165"/>
      <c r="J189" s="1162"/>
      <c r="K189" s="1162"/>
    </row>
    <row r="190" spans="1:11" s="1161" customFormat="1" x14ac:dyDescent="0.2">
      <c r="A190" s="1162"/>
      <c r="B190" s="1164"/>
      <c r="C190" s="1164"/>
      <c r="D190" s="1164"/>
      <c r="E190" s="1164"/>
      <c r="F190" s="1164"/>
      <c r="G190" s="1164"/>
      <c r="H190" s="1165"/>
      <c r="I190" s="1165"/>
      <c r="J190" s="1162"/>
      <c r="K190" s="1162"/>
    </row>
    <row r="191" spans="1:11" s="1161" customFormat="1" x14ac:dyDescent="0.2">
      <c r="A191" s="1162"/>
      <c r="B191" s="1164"/>
      <c r="C191" s="1164"/>
      <c r="D191" s="1164"/>
      <c r="E191" s="1164"/>
      <c r="F191" s="1164"/>
      <c r="G191" s="1164"/>
      <c r="H191" s="1165"/>
      <c r="I191" s="1165"/>
      <c r="J191" s="1162"/>
      <c r="K191" s="1162"/>
    </row>
    <row r="192" spans="1:11" s="1161" customFormat="1" x14ac:dyDescent="0.2">
      <c r="A192" s="1162"/>
      <c r="B192" s="1164"/>
      <c r="C192" s="1164"/>
      <c r="D192" s="1164"/>
      <c r="E192" s="1164"/>
      <c r="F192" s="1164"/>
      <c r="G192" s="1164"/>
      <c r="H192" s="1165"/>
      <c r="I192" s="1165"/>
      <c r="J192" s="1162"/>
      <c r="K192" s="1162"/>
    </row>
    <row r="193" spans="1:11" s="1161" customFormat="1" x14ac:dyDescent="0.2">
      <c r="A193" s="1162"/>
      <c r="B193" s="1164"/>
      <c r="C193" s="1164"/>
      <c r="D193" s="1164"/>
      <c r="E193" s="1164"/>
      <c r="F193" s="1164"/>
      <c r="G193" s="1164"/>
      <c r="H193" s="1165"/>
      <c r="I193" s="1165"/>
      <c r="J193" s="1162"/>
      <c r="K193" s="1162"/>
    </row>
    <row r="194" spans="1:11" s="1161" customFormat="1" x14ac:dyDescent="0.2">
      <c r="A194" s="1162"/>
      <c r="B194" s="1164"/>
      <c r="C194" s="1164"/>
      <c r="D194" s="1164"/>
      <c r="E194" s="1164"/>
      <c r="F194" s="1164"/>
      <c r="G194" s="1164"/>
      <c r="H194" s="1165"/>
      <c r="I194" s="1165"/>
      <c r="J194" s="1162"/>
      <c r="K194" s="1162"/>
    </row>
    <row r="195" spans="1:11" s="1161" customFormat="1" x14ac:dyDescent="0.2">
      <c r="A195" s="1162"/>
      <c r="B195" s="1164"/>
      <c r="C195" s="1164"/>
      <c r="D195" s="1164"/>
      <c r="E195" s="1164"/>
      <c r="F195" s="1164"/>
      <c r="G195" s="1164"/>
      <c r="H195" s="1165"/>
      <c r="I195" s="1165"/>
      <c r="J195" s="1162"/>
      <c r="K195" s="1162"/>
    </row>
    <row r="196" spans="1:11" s="1161" customFormat="1" x14ac:dyDescent="0.2">
      <c r="A196" s="1162"/>
      <c r="B196" s="1162"/>
      <c r="C196" s="1162"/>
      <c r="D196" s="1162"/>
      <c r="E196" s="1162"/>
      <c r="F196" s="1162"/>
      <c r="G196" s="1162"/>
      <c r="H196" s="1162"/>
      <c r="I196" s="1162"/>
      <c r="J196" s="1162"/>
      <c r="K196" s="1162"/>
    </row>
    <row r="197" spans="1:11" s="1161" customFormat="1" x14ac:dyDescent="0.2">
      <c r="A197" s="1162"/>
      <c r="B197" s="1162"/>
      <c r="C197" s="1162"/>
      <c r="D197" s="1162"/>
      <c r="E197" s="1162"/>
      <c r="F197" s="1162"/>
      <c r="G197" s="1162"/>
      <c r="H197" s="1162"/>
      <c r="I197" s="1162"/>
      <c r="J197" s="1162"/>
      <c r="K197" s="1162"/>
    </row>
    <row r="198" spans="1:11" s="1161" customFormat="1" x14ac:dyDescent="0.2">
      <c r="A198" s="1162"/>
      <c r="B198" s="1162"/>
      <c r="C198" s="1162"/>
      <c r="D198" s="1162"/>
      <c r="E198" s="1162"/>
      <c r="F198" s="1162"/>
      <c r="G198" s="1162"/>
      <c r="H198" s="1162"/>
      <c r="I198" s="1162"/>
      <c r="J198" s="1162"/>
      <c r="K198" s="1162"/>
    </row>
    <row r="199" spans="1:11" s="1161" customFormat="1" x14ac:dyDescent="0.2">
      <c r="A199" s="1162"/>
      <c r="B199" s="1162"/>
      <c r="C199" s="1162"/>
      <c r="D199" s="1162"/>
      <c r="E199" s="1162"/>
      <c r="F199" s="1162"/>
      <c r="G199" s="1162"/>
      <c r="H199" s="1162"/>
      <c r="I199" s="1162"/>
      <c r="J199" s="1162"/>
      <c r="K199" s="1162"/>
    </row>
    <row r="200" spans="1:11" s="1161" customFormat="1" x14ac:dyDescent="0.2">
      <c r="A200" s="1162"/>
      <c r="B200" s="1162"/>
      <c r="C200" s="1162"/>
      <c r="D200" s="1162"/>
      <c r="E200" s="1162"/>
      <c r="F200" s="1162"/>
      <c r="G200" s="1162"/>
      <c r="H200" s="1162"/>
      <c r="I200" s="1162"/>
      <c r="J200" s="1162"/>
      <c r="K200" s="1162"/>
    </row>
    <row r="201" spans="1:11" s="1161" customFormat="1" x14ac:dyDescent="0.2">
      <c r="A201" s="1162"/>
      <c r="B201" s="1162"/>
      <c r="C201" s="1162"/>
      <c r="D201" s="1162"/>
      <c r="E201" s="1162"/>
      <c r="F201" s="1162"/>
      <c r="G201" s="1162"/>
      <c r="H201" s="1162"/>
      <c r="I201" s="1162"/>
      <c r="J201" s="1162"/>
      <c r="K201" s="1162"/>
    </row>
    <row r="202" spans="1:11" s="1161" customFormat="1" x14ac:dyDescent="0.2">
      <c r="A202" s="1162"/>
      <c r="B202" s="1162"/>
      <c r="C202" s="1162"/>
      <c r="D202" s="1162"/>
      <c r="E202" s="1162"/>
      <c r="F202" s="1162"/>
      <c r="G202" s="1162"/>
      <c r="H202" s="1162"/>
      <c r="I202" s="1162"/>
      <c r="J202" s="1162"/>
      <c r="K202" s="1162"/>
    </row>
    <row r="203" spans="1:11" s="1161" customFormat="1" x14ac:dyDescent="0.2">
      <c r="A203" s="1162"/>
      <c r="B203" s="1162"/>
      <c r="C203" s="1162"/>
      <c r="D203" s="1162"/>
      <c r="J203" s="1162"/>
      <c r="K203" s="1162"/>
    </row>
    <row r="204" spans="1:11" s="1161" customFormat="1" x14ac:dyDescent="0.2">
      <c r="A204" s="1162"/>
      <c r="B204" s="1162"/>
      <c r="C204" s="1162"/>
      <c r="D204" s="1162"/>
      <c r="J204" s="1162"/>
      <c r="K204" s="1162"/>
    </row>
    <row r="205" spans="1:11" s="1161" customFormat="1" x14ac:dyDescent="0.2">
      <c r="A205" s="1162"/>
      <c r="B205" s="1162"/>
      <c r="C205" s="1162"/>
      <c r="D205" s="1162"/>
      <c r="J205" s="1162"/>
      <c r="K205" s="1162"/>
    </row>
    <row r="206" spans="1:11" s="1161" customFormat="1" x14ac:dyDescent="0.2">
      <c r="A206" s="1162"/>
      <c r="B206" s="1162"/>
      <c r="C206" s="1162"/>
      <c r="D206" s="1162"/>
      <c r="J206" s="1162"/>
      <c r="K206" s="1162"/>
    </row>
    <row r="207" spans="1:11" s="1161" customFormat="1" x14ac:dyDescent="0.2">
      <c r="A207" s="1162"/>
      <c r="B207" s="1162"/>
      <c r="C207" s="1162"/>
      <c r="D207" s="1162"/>
      <c r="J207" s="1162"/>
      <c r="K207" s="1162"/>
    </row>
    <row r="208" spans="1:11" s="1161" customFormat="1" x14ac:dyDescent="0.2">
      <c r="A208" s="1162"/>
      <c r="B208" s="1162"/>
      <c r="C208" s="1162"/>
      <c r="D208" s="1162"/>
      <c r="J208" s="1162"/>
      <c r="K208" s="1162"/>
    </row>
    <row r="209" spans="1:11" s="1161" customFormat="1" x14ac:dyDescent="0.2">
      <c r="A209" s="1162"/>
      <c r="B209" s="1162"/>
      <c r="C209" s="1162"/>
      <c r="D209" s="1162"/>
      <c r="J209" s="1162"/>
      <c r="K209" s="1162"/>
    </row>
    <row r="210" spans="1:11" s="1161" customFormat="1" x14ac:dyDescent="0.2">
      <c r="A210" s="1162"/>
      <c r="B210" s="1162"/>
      <c r="C210" s="1162"/>
      <c r="D210" s="1162"/>
      <c r="J210" s="1162"/>
      <c r="K210" s="1162"/>
    </row>
    <row r="211" spans="1:11" s="1161" customFormat="1" x14ac:dyDescent="0.2">
      <c r="A211" s="1162"/>
      <c r="B211" s="1162"/>
      <c r="C211" s="1162"/>
      <c r="D211" s="1162"/>
      <c r="J211" s="1162"/>
      <c r="K211" s="1162"/>
    </row>
    <row r="212" spans="1:11" s="1161" customFormat="1" x14ac:dyDescent="0.2">
      <c r="A212" s="1162"/>
      <c r="B212" s="1162"/>
      <c r="C212" s="1162"/>
      <c r="D212" s="1162"/>
      <c r="J212" s="1162"/>
      <c r="K212" s="1162"/>
    </row>
    <row r="213" spans="1:11" s="1161" customFormat="1" x14ac:dyDescent="0.2">
      <c r="A213" s="1162"/>
      <c r="B213" s="1162"/>
      <c r="C213" s="1162"/>
      <c r="D213" s="1162"/>
      <c r="J213" s="1162"/>
      <c r="K213" s="1162"/>
    </row>
    <row r="214" spans="1:11" s="1161" customFormat="1" x14ac:dyDescent="0.2">
      <c r="A214" s="1162"/>
      <c r="B214" s="1162"/>
      <c r="C214" s="1162"/>
      <c r="D214" s="1162"/>
      <c r="J214" s="1162"/>
      <c r="K214" s="1162"/>
    </row>
    <row r="215" spans="1:11" s="1161" customFormat="1" x14ac:dyDescent="0.2">
      <c r="A215" s="1162"/>
      <c r="B215" s="1162"/>
      <c r="C215" s="1162"/>
      <c r="D215" s="1162"/>
      <c r="J215" s="1162"/>
      <c r="K215" s="1162"/>
    </row>
    <row r="216" spans="1:11" s="1161" customFormat="1" x14ac:dyDescent="0.2"/>
    <row r="217" spans="1:11" s="1161" customFormat="1" x14ac:dyDescent="0.2"/>
    <row r="218" spans="1:11" s="1161" customFormat="1" x14ac:dyDescent="0.2"/>
    <row r="219" spans="1:11" s="1161" customFormat="1" x14ac:dyDescent="0.2"/>
    <row r="220" spans="1:11" s="1161" customFormat="1" x14ac:dyDescent="0.2"/>
  </sheetData>
  <sheetProtection selectLockedCells="1" selectUnlockedCells="1"/>
  <mergeCells count="67">
    <mergeCell ref="A4:A5"/>
    <mergeCell ref="B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A76:I76"/>
    <mergeCell ref="A16:I16"/>
    <mergeCell ref="B17:I17"/>
    <mergeCell ref="A18:A19"/>
    <mergeCell ref="B18:C18"/>
    <mergeCell ref="D18:E18"/>
    <mergeCell ref="F18:G18"/>
    <mergeCell ref="H18:I18"/>
    <mergeCell ref="B34:C34"/>
    <mergeCell ref="D34:E34"/>
    <mergeCell ref="F34:G34"/>
    <mergeCell ref="H34:I34"/>
    <mergeCell ref="A75:I75"/>
    <mergeCell ref="A83:I83"/>
    <mergeCell ref="B145:C145"/>
    <mergeCell ref="A77:I77"/>
    <mergeCell ref="A78:I78"/>
    <mergeCell ref="A79:I79"/>
    <mergeCell ref="A80:I80"/>
    <mergeCell ref="A81:I81"/>
    <mergeCell ref="A82:I82"/>
  </mergeCells>
  <dataValidations count="17">
    <dataValidation type="list" allowBlank="1" showInputMessage="1" showErrorMessage="1" sqref="B15:I15" xr:uid="{DFBA5B78-9A1E-4983-9246-300526143500}">
      <formula1>"да,нет"</formula1>
    </dataValidation>
    <dataValidation type="list" allowBlank="1" showInputMessage="1" showErrorMessage="1" sqref="B15:I15" xr:uid="{50FFF3D8-A624-4529-A0EA-BFAE6DBC413D}">
      <formula1>TokyoType</formula1>
    </dataValidation>
    <dataValidation type="list" allowBlank="1" showInputMessage="1" showErrorMessage="1" sqref="B14:C14" xr:uid="{EEB86183-4628-4A5E-8BAA-B0219365160E}">
      <formula1>BTYPS</formula1>
    </dataValidation>
    <dataValidation type="list" allowBlank="1" showInputMessage="1" showErrorMessage="1" sqref="D14:E14" xr:uid="{0B0E9027-6DF7-4E70-8D88-65F0E134C850}">
      <formula1>MUGNQ</formula1>
    </dataValidation>
    <dataValidation type="list" allowBlank="1" showInputMessage="1" showErrorMessage="1" sqref="F14:G14" xr:uid="{C797A005-2B95-4BA3-B712-4CD1C16A1B76}">
      <formula1>IANCJ</formula1>
    </dataValidation>
    <dataValidation type="list" allowBlank="1" showInputMessage="1" showErrorMessage="1" sqref="H14:I14" xr:uid="{9ED20DE0-3CBA-4F95-B413-957AB3EADBC0}">
      <formula1>CEXUI</formula1>
    </dataValidation>
    <dataValidation type="list" allowBlank="1" showInputMessage="1" showErrorMessage="1" sqref="H6:I6" xr:uid="{73983291-FC41-4063-A396-07BA46F66F80}">
      <formula1>XODFC</formula1>
    </dataValidation>
    <dataValidation type="list" allowBlank="1" showInputMessage="1" showErrorMessage="1" sqref="F6:G6" xr:uid="{6AE4E61C-5B6A-484A-8BFD-485D5B44D6F8}">
      <formula1>GURGW</formula1>
    </dataValidation>
    <dataValidation type="list" allowBlank="1" showInputMessage="1" showErrorMessage="1" sqref="D6:E6" xr:uid="{DF3B6E88-AAFD-48B4-95C3-6576C0901621}">
      <formula1>DYRFP</formula1>
    </dataValidation>
    <dataValidation type="list" allowBlank="1" showInputMessage="1" showErrorMessage="1" sqref="B6:C6" xr:uid="{C872C768-313C-485C-8AA0-0AF2BFA50899}">
      <formula1>JSLDC</formula1>
    </dataValidation>
    <dataValidation type="decimal" operator="lessThanOrEqual" allowBlank="1" showInputMessage="1" showErrorMessage="1" sqref="H7 B7 D7 F7" xr:uid="{4AC8C427-2B63-446B-A2E3-D80F0E0C5850}">
      <formula1>3</formula1>
    </dataValidation>
    <dataValidation type="list" allowBlank="1" showInputMessage="1" showErrorMessage="1" sqref="B11 D11 F11 H11" xr:uid="{9C9C3A17-4E8C-48C8-B3B6-36263B1312CD}">
      <formula1>"да, нет"</formula1>
    </dataValidation>
    <dataValidation type="list" allowBlank="1" showInputMessage="1" showErrorMessage="1" sqref="B12:C12" xr:uid="{7A74A4EA-B6F3-4146-B085-C6F5FBB29E4E}">
      <formula1>GQIBE</formula1>
    </dataValidation>
    <dataValidation type="list" allowBlank="1" showInputMessage="1" showErrorMessage="1" sqref="D12:E12" xr:uid="{44F7A343-18DF-4CF7-9B31-F946C546BF62}">
      <formula1>PSAXR</formula1>
    </dataValidation>
    <dataValidation type="list" allowBlank="1" showInputMessage="1" showErrorMessage="1" sqref="F12:G12" xr:uid="{197AC639-93F8-4192-8606-29E00E06FFAA}">
      <formula1>TAYYL</formula1>
    </dataValidation>
    <dataValidation type="list" allowBlank="1" showInputMessage="1" showErrorMessage="1" sqref="H12:I12" xr:uid="{877127CC-D214-4967-B669-C97E8FE74B78}">
      <formula1>OGGLT</formula1>
    </dataValidation>
    <dataValidation type="list" allowBlank="1" showInputMessage="1" showErrorMessage="1" sqref="B13:I13" xr:uid="{8BB503DF-4189-42AE-A305-C42091E45800}">
      <formula1>QPAFE</formula1>
    </dataValidation>
  </dataValidations>
  <printOptions horizontalCentered="1"/>
  <pageMargins left="0.25" right="0.25" top="0.75" bottom="0.75" header="0.3" footer="0.3"/>
  <pageSetup paperSize="9" scale="59" firstPageNumber="0" fitToHeight="2" orientation="portrait" r:id="rId1"/>
  <headerFooter scaleWithDoc="0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3006-41D7-46C3-9D5C-4A726BA4507C}">
  <sheetPr>
    <tabColor theme="9"/>
    <pageSetUpPr fitToPage="1"/>
  </sheetPr>
  <dimension ref="A1:AD160"/>
  <sheetViews>
    <sheetView showGridLines="0" zoomScale="80" zoomScaleNormal="80" zoomScaleSheetLayoutView="50" zoomScalePageLayoutView="55" workbookViewId="0">
      <pane ySplit="18" topLeftCell="A19" activePane="bottomLeft" state="frozen"/>
      <selection activeCell="J57" sqref="J57"/>
      <selection pane="bottomLeft" activeCell="A4" sqref="A4:A5"/>
    </sheetView>
  </sheetViews>
  <sheetFormatPr defaultColWidth="9.140625" defaultRowHeight="12.75" zeroHeight="1" x14ac:dyDescent="0.2"/>
  <cols>
    <col min="1" max="1" width="63.140625" style="1079" customWidth="1"/>
    <col min="2" max="9" width="14.140625" style="1079" customWidth="1"/>
    <col min="10" max="10" width="25.28515625" style="1079" customWidth="1"/>
    <col min="11" max="11" width="15.42578125" style="1079" customWidth="1"/>
    <col min="12" max="12" width="9" style="1079" customWidth="1"/>
    <col min="13" max="13" width="13.85546875" style="1079" customWidth="1"/>
    <col min="14" max="14" width="10.85546875" style="1079" hidden="1" customWidth="1"/>
    <col min="15" max="30" width="0" style="1079" hidden="1" customWidth="1"/>
    <col min="31" max="16384" width="9.140625" style="1079"/>
  </cols>
  <sheetData>
    <row r="1" spans="1:11" x14ac:dyDescent="0.2">
      <c r="A1" s="1074">
        <v>45981</v>
      </c>
      <c r="B1" s="1075"/>
      <c r="C1" s="1075"/>
      <c r="D1" s="1075"/>
      <c r="E1" s="1076"/>
      <c r="F1" s="1076"/>
      <c r="G1" s="1081"/>
      <c r="H1" s="1081"/>
      <c r="I1" s="1081"/>
    </row>
    <row r="2" spans="1:11" ht="27" customHeight="1" thickBot="1" x14ac:dyDescent="0.25">
      <c r="A2" s="1083" t="s">
        <v>1019</v>
      </c>
      <c r="B2" s="1083"/>
      <c r="C2" s="1083"/>
      <c r="D2" s="1083"/>
      <c r="E2" s="1083"/>
      <c r="F2" s="1083"/>
      <c r="G2" s="1083"/>
      <c r="H2" s="1083"/>
      <c r="I2" s="1083"/>
      <c r="K2" s="1081"/>
    </row>
    <row r="3" spans="1:11" ht="16.5" customHeight="1" x14ac:dyDescent="0.2">
      <c r="A3" s="1084"/>
      <c r="B3" s="1085"/>
      <c r="H3" s="1086"/>
      <c r="I3" s="1086"/>
      <c r="J3" s="1087"/>
      <c r="K3" s="1087"/>
    </row>
    <row r="4" spans="1:11" ht="16.5" customHeight="1" x14ac:dyDescent="0.2">
      <c r="A4" s="2510" t="s">
        <v>1020</v>
      </c>
      <c r="B4" s="2496" t="s">
        <v>943</v>
      </c>
      <c r="C4" s="2496"/>
      <c r="D4" s="2496"/>
      <c r="E4" s="2496"/>
      <c r="F4" s="2496"/>
      <c r="G4" s="2496"/>
      <c r="H4" s="2496"/>
      <c r="I4" s="2496"/>
      <c r="J4" s="1087"/>
      <c r="K4" s="1087"/>
    </row>
    <row r="5" spans="1:11" ht="16.5" customHeight="1" x14ac:dyDescent="0.2">
      <c r="A5" s="2510"/>
      <c r="B5" s="2511" t="s">
        <v>944</v>
      </c>
      <c r="C5" s="2511"/>
      <c r="D5" s="2511" t="s">
        <v>945</v>
      </c>
      <c r="E5" s="2511"/>
      <c r="F5" s="2511" t="s">
        <v>946</v>
      </c>
      <c r="G5" s="2511"/>
      <c r="H5" s="2511" t="s">
        <v>947</v>
      </c>
      <c r="I5" s="2511"/>
      <c r="J5" s="1087"/>
      <c r="K5" s="1087"/>
    </row>
    <row r="6" spans="1:11" ht="16.5" customHeight="1" x14ac:dyDescent="0.2">
      <c r="A6" s="1089" t="s">
        <v>1021</v>
      </c>
      <c r="B6" s="2507" t="s">
        <v>1022</v>
      </c>
      <c r="C6" s="2521"/>
      <c r="D6" s="2521"/>
      <c r="E6" s="2521"/>
      <c r="F6" s="2521"/>
      <c r="G6" s="2521"/>
      <c r="H6" s="2521"/>
      <c r="I6" s="2508"/>
      <c r="J6" s="1085" t="s">
        <v>1023</v>
      </c>
      <c r="K6" s="1087"/>
    </row>
    <row r="7" spans="1:11" ht="16.5" customHeight="1" x14ac:dyDescent="0.2">
      <c r="A7" s="1089" t="s">
        <v>1024</v>
      </c>
      <c r="B7" s="2507" t="s">
        <v>1025</v>
      </c>
      <c r="C7" s="2521"/>
      <c r="D7" s="2521"/>
      <c r="E7" s="2521"/>
      <c r="F7" s="2521"/>
      <c r="G7" s="2521"/>
      <c r="H7" s="2521"/>
      <c r="I7" s="2508"/>
      <c r="J7" s="1085" t="s">
        <v>1026</v>
      </c>
      <c r="K7" s="1087"/>
    </row>
    <row r="8" spans="1:11" ht="16.5" customHeight="1" x14ac:dyDescent="0.2">
      <c r="A8" s="1090" t="s">
        <v>951</v>
      </c>
      <c r="B8" s="2522">
        <v>0</v>
      </c>
      <c r="C8" s="2522"/>
      <c r="D8" s="2522">
        <v>0</v>
      </c>
      <c r="E8" s="2522"/>
      <c r="F8" s="2522">
        <v>0</v>
      </c>
      <c r="G8" s="2522"/>
      <c r="H8" s="2522">
        <v>0</v>
      </c>
      <c r="I8" s="2522"/>
      <c r="J8" s="1085" t="s">
        <v>1027</v>
      </c>
      <c r="K8" s="1087"/>
    </row>
    <row r="9" spans="1:11" ht="16.5" customHeight="1" x14ac:dyDescent="0.2">
      <c r="A9" s="1090" t="s">
        <v>952</v>
      </c>
      <c r="B9" s="2509">
        <v>0</v>
      </c>
      <c r="C9" s="2509"/>
      <c r="D9" s="2509">
        <v>0</v>
      </c>
      <c r="E9" s="2509"/>
      <c r="F9" s="2509">
        <v>0</v>
      </c>
      <c r="G9" s="2509"/>
      <c r="H9" s="2509">
        <v>0</v>
      </c>
      <c r="I9" s="2509"/>
      <c r="J9" s="1085" t="s">
        <v>953</v>
      </c>
      <c r="K9" s="1087"/>
    </row>
    <row r="10" spans="1:11" ht="16.5" customHeight="1" x14ac:dyDescent="0.2">
      <c r="A10" s="1090" t="s">
        <v>954</v>
      </c>
      <c r="B10" s="2509">
        <v>0</v>
      </c>
      <c r="C10" s="2509"/>
      <c r="D10" s="2509">
        <v>0</v>
      </c>
      <c r="E10" s="2509"/>
      <c r="F10" s="2509">
        <v>0</v>
      </c>
      <c r="G10" s="2509"/>
      <c r="H10" s="2509">
        <v>0</v>
      </c>
      <c r="I10" s="2509"/>
      <c r="J10" s="1085" t="s">
        <v>955</v>
      </c>
      <c r="K10" s="1087"/>
    </row>
    <row r="11" spans="1:11" ht="16.5" customHeight="1" x14ac:dyDescent="0.2">
      <c r="A11" s="1089" t="s">
        <v>956</v>
      </c>
      <c r="B11" s="2509">
        <v>0</v>
      </c>
      <c r="C11" s="2509"/>
      <c r="D11" s="2509">
        <v>0</v>
      </c>
      <c r="E11" s="2509"/>
      <c r="F11" s="2509">
        <v>0</v>
      </c>
      <c r="G11" s="2509"/>
      <c r="H11" s="2509">
        <v>0</v>
      </c>
      <c r="I11" s="2509"/>
      <c r="J11" s="1085" t="s">
        <v>955</v>
      </c>
      <c r="K11" s="1087"/>
    </row>
    <row r="12" spans="1:11" ht="16.5" customHeight="1" x14ac:dyDescent="0.2">
      <c r="A12" s="1089" t="s">
        <v>1010</v>
      </c>
      <c r="B12" s="2509">
        <v>0</v>
      </c>
      <c r="C12" s="2509"/>
      <c r="D12" s="2509">
        <v>0</v>
      </c>
      <c r="E12" s="2509"/>
      <c r="F12" s="2509">
        <v>0</v>
      </c>
      <c r="G12" s="2509"/>
      <c r="H12" s="2509">
        <v>0</v>
      </c>
      <c r="I12" s="2509"/>
      <c r="J12" s="1085" t="s">
        <v>955</v>
      </c>
      <c r="K12" s="1087"/>
    </row>
    <row r="13" spans="1:11" ht="16.5" customHeight="1" x14ac:dyDescent="0.2">
      <c r="A13" s="1090" t="s">
        <v>958</v>
      </c>
      <c r="B13" s="2509" t="s">
        <v>959</v>
      </c>
      <c r="C13" s="2509"/>
      <c r="D13" s="2509" t="s">
        <v>959</v>
      </c>
      <c r="E13" s="2509"/>
      <c r="F13" s="2509" t="s">
        <v>959</v>
      </c>
      <c r="G13" s="2509"/>
      <c r="H13" s="2509" t="s">
        <v>959</v>
      </c>
      <c r="I13" s="2509"/>
      <c r="J13" s="1085" t="s">
        <v>950</v>
      </c>
      <c r="K13" s="1087"/>
    </row>
    <row r="14" spans="1:11" ht="16.5" customHeight="1" x14ac:dyDescent="0.2">
      <c r="A14" s="1090" t="s">
        <v>1028</v>
      </c>
      <c r="B14" s="2505" t="s">
        <v>959</v>
      </c>
      <c r="C14" s="2506"/>
      <c r="D14" s="2505" t="s">
        <v>959</v>
      </c>
      <c r="E14" s="2506"/>
      <c r="F14" s="2505" t="s">
        <v>959</v>
      </c>
      <c r="G14" s="2506"/>
      <c r="H14" s="2505" t="s">
        <v>959</v>
      </c>
      <c r="I14" s="2506"/>
      <c r="J14" s="1085" t="s">
        <v>950</v>
      </c>
      <c r="K14" s="1087"/>
    </row>
    <row r="15" spans="1:11" ht="32.25" customHeight="1" x14ac:dyDescent="0.2">
      <c r="A15" s="1090" t="s">
        <v>1029</v>
      </c>
      <c r="B15" s="2505" t="s">
        <v>959</v>
      </c>
      <c r="C15" s="2506"/>
      <c r="D15" s="2505" t="s">
        <v>959</v>
      </c>
      <c r="E15" s="2506"/>
      <c r="F15" s="2505" t="s">
        <v>959</v>
      </c>
      <c r="G15" s="2506"/>
      <c r="H15" s="2505" t="s">
        <v>959</v>
      </c>
      <c r="I15" s="2506"/>
      <c r="J15" s="1085" t="s">
        <v>950</v>
      </c>
      <c r="K15" s="1087"/>
    </row>
    <row r="16" spans="1:11" ht="16.5" customHeight="1" x14ac:dyDescent="0.2">
      <c r="A16" s="1090" t="s">
        <v>963</v>
      </c>
      <c r="B16" s="2505" t="s">
        <v>18</v>
      </c>
      <c r="C16" s="2506"/>
      <c r="D16" s="2505" t="s">
        <v>18</v>
      </c>
      <c r="E16" s="2506"/>
      <c r="F16" s="2505" t="s">
        <v>18</v>
      </c>
      <c r="G16" s="2506"/>
      <c r="H16" s="2505" t="s">
        <v>18</v>
      </c>
      <c r="I16" s="2506"/>
      <c r="J16" s="1085" t="s">
        <v>950</v>
      </c>
      <c r="K16" s="1087"/>
    </row>
    <row r="17" spans="1:11" ht="16.5" customHeight="1" x14ac:dyDescent="0.2">
      <c r="A17" s="1090" t="s">
        <v>964</v>
      </c>
      <c r="B17" s="2505" t="s">
        <v>959</v>
      </c>
      <c r="C17" s="2506"/>
      <c r="D17" s="2505" t="s">
        <v>959</v>
      </c>
      <c r="E17" s="2506"/>
      <c r="F17" s="2505" t="s">
        <v>959</v>
      </c>
      <c r="G17" s="2506"/>
      <c r="H17" s="2505" t="s">
        <v>959</v>
      </c>
      <c r="I17" s="2506"/>
      <c r="J17" s="1085"/>
      <c r="K17" s="1087"/>
    </row>
    <row r="18" spans="1:11" ht="15.75" customHeight="1" x14ac:dyDescent="0.2">
      <c r="A18" s="2494" t="s">
        <v>965</v>
      </c>
      <c r="B18" s="2494"/>
      <c r="C18" s="2494"/>
      <c r="D18" s="2494"/>
      <c r="E18" s="2494"/>
      <c r="F18" s="2494"/>
      <c r="G18" s="2494"/>
      <c r="H18" s="2494"/>
      <c r="I18" s="2494"/>
      <c r="J18" s="1087"/>
      <c r="K18" s="1087"/>
    </row>
    <row r="19" spans="1:11" ht="45" customHeight="1" x14ac:dyDescent="0.2">
      <c r="A19" s="1092" t="str">
        <f>IF(OR(B9&gt;2.5,D9&gt;2.5,F9&gt;2.5,H9&gt;2.5),"Секции более 2,5 метров не рекомендуются. Продажа осуществляется по подписанной спецификации клиента","")</f>
        <v/>
      </c>
      <c r="B19" s="2495" t="s">
        <v>966</v>
      </c>
      <c r="C19" s="2495"/>
      <c r="D19" s="2495"/>
      <c r="E19" s="2495"/>
      <c r="F19" s="2495"/>
      <c r="G19" s="2495"/>
      <c r="H19" s="2495"/>
      <c r="I19" s="2495"/>
      <c r="J19" s="1087"/>
      <c r="K19" s="1087"/>
    </row>
    <row r="20" spans="1:11" ht="16.5" customHeight="1" x14ac:dyDescent="0.2">
      <c r="A20" s="2496" t="s">
        <v>1030</v>
      </c>
      <c r="B20" s="2497" t="s">
        <v>968</v>
      </c>
      <c r="C20" s="2498"/>
      <c r="D20" s="2498" t="s">
        <v>969</v>
      </c>
      <c r="E20" s="2498"/>
      <c r="F20" s="2498" t="s">
        <v>970</v>
      </c>
      <c r="G20" s="2498"/>
      <c r="H20" s="2498" t="s">
        <v>971</v>
      </c>
      <c r="I20" s="2499"/>
      <c r="K20" s="1087"/>
    </row>
    <row r="21" spans="1:11" ht="16.5" customHeight="1" x14ac:dyDescent="0.2">
      <c r="A21" s="2496"/>
      <c r="B21" s="1088" t="s">
        <v>972</v>
      </c>
      <c r="C21" s="1093" t="s">
        <v>973</v>
      </c>
      <c r="D21" s="1094" t="s">
        <v>972</v>
      </c>
      <c r="E21" s="1093" t="s">
        <v>973</v>
      </c>
      <c r="F21" s="1094" t="s">
        <v>972</v>
      </c>
      <c r="G21" s="1093" t="s">
        <v>973</v>
      </c>
      <c r="H21" s="1094" t="s">
        <v>972</v>
      </c>
      <c r="I21" s="1088" t="s">
        <v>973</v>
      </c>
      <c r="K21" s="1087"/>
    </row>
    <row r="22" spans="1:11" ht="16.5" customHeight="1" x14ac:dyDescent="0.2">
      <c r="A22" s="1095" t="s">
        <v>974</v>
      </c>
      <c r="B22" s="1095"/>
      <c r="C22" s="1096"/>
      <c r="D22" s="1097"/>
      <c r="E22" s="1098"/>
      <c r="F22" s="1097"/>
      <c r="G22" s="1098"/>
      <c r="H22" s="1097"/>
      <c r="I22" s="1099"/>
      <c r="K22" s="1087"/>
    </row>
    <row r="23" spans="1:11" ht="16.5" customHeight="1" x14ac:dyDescent="0.2">
      <c r="A23" s="1100" t="s">
        <v>1031</v>
      </c>
      <c r="B23" s="1101">
        <f>IF(C23=0,0,B9-0.01)</f>
        <v>0</v>
      </c>
      <c r="C23" s="1102">
        <f>IFERROR(IF($B$6="ламель50",IF(B7="25мм",B10*VLOOKUP(B8,Данные1!$Z$78:$AA$106,2,FALSE),IF(B7="50мм",B10*VLOOKUP(B8,Данные1!$AD$78:$AE$99,2,FALSE))),0),0)</f>
        <v>0</v>
      </c>
      <c r="D23" s="1101">
        <f>IF(E23=0,0,D9-0.01)</f>
        <v>0</v>
      </c>
      <c r="E23" s="1102">
        <f>IFERROR(IF($B$6="ламель50",IF(B7="25мм",D10*VLOOKUP(D8,Данные1!$Z$78:$AA$106,2,FALSE),IF(B7="50мм",D10*VLOOKUP(D8,Данные1!$AD$78:$AE$99,2,FALSE))),0),0)</f>
        <v>0</v>
      </c>
      <c r="F23" s="1101">
        <f>IF(G23=0,0,F9-0.01)</f>
        <v>0</v>
      </c>
      <c r="G23" s="1102">
        <f>IFERROR(IF($B$6="ламель50",IF(B7="25мм",F10*VLOOKUP(F8,Данные1!$Z$78:$AA$106,2,FALSE),IF(B7="50мм",F10*VLOOKUP(F8,Данные1!$AD$78:$AE$99,2,FALSE))),0),0)</f>
        <v>0</v>
      </c>
      <c r="H23" s="1101">
        <f>IF(I23=0,0,H9-0.01)</f>
        <v>0</v>
      </c>
      <c r="I23" s="1103">
        <f>IFERROR(IF($B$6="ламель50",IF(B7="25мм",H10*VLOOKUP(H8,Данные1!$Z$78:$AA$106,2,FALSE),IF(B7="50мм",H10*VLOOKUP(H8,Данные1!$AD$78:$AE$99,2,FALSE))),0),0)</f>
        <v>0</v>
      </c>
      <c r="K23" s="1087"/>
    </row>
    <row r="24" spans="1:11" ht="16.5" customHeight="1" x14ac:dyDescent="0.2">
      <c r="A24" s="1100" t="s">
        <v>1032</v>
      </c>
      <c r="B24" s="1101">
        <f t="shared" ref="B24:I24" si="0">B23</f>
        <v>0</v>
      </c>
      <c r="C24" s="1102">
        <f t="shared" si="0"/>
        <v>0</v>
      </c>
      <c r="D24" s="1101">
        <f t="shared" si="0"/>
        <v>0</v>
      </c>
      <c r="E24" s="1102">
        <f t="shared" si="0"/>
        <v>0</v>
      </c>
      <c r="F24" s="1101">
        <f t="shared" si="0"/>
        <v>0</v>
      </c>
      <c r="G24" s="1102">
        <f t="shared" si="0"/>
        <v>0</v>
      </c>
      <c r="H24" s="1101">
        <f t="shared" si="0"/>
        <v>0</v>
      </c>
      <c r="I24" s="1103">
        <f t="shared" si="0"/>
        <v>0</v>
      </c>
      <c r="K24" s="1087"/>
    </row>
    <row r="25" spans="1:11" ht="16.5" customHeight="1" x14ac:dyDescent="0.2">
      <c r="A25" s="1100" t="s">
        <v>1033</v>
      </c>
      <c r="B25" s="1101">
        <f>IF(C25=0,0,B9-0.01)</f>
        <v>0</v>
      </c>
      <c r="C25" s="1102">
        <f>IFERROR(IF($B$6="ламель100",B10*VLOOKUP(B8,Данные1!$AP$78:$AR$87,2,FALSE),0),0)</f>
        <v>0</v>
      </c>
      <c r="D25" s="1101">
        <f>IF(E25=0,0,D9-0.01)</f>
        <v>0</v>
      </c>
      <c r="E25" s="1102">
        <f>IFERROR(IF($B$6="ламель100",D10*VLOOKUP(D8,Данные1!$AP$78:$AR$87,2,FALSE),0),0)</f>
        <v>0</v>
      </c>
      <c r="F25" s="1101">
        <f>IF(G25=0,0,F9-0.01)</f>
        <v>0</v>
      </c>
      <c r="G25" s="1102">
        <f>IFERROR(IF($B$6="ламель100",F10*VLOOKUP(F8,Данные1!$AP$78:$AR$87,2,FALSE),0),0)</f>
        <v>0</v>
      </c>
      <c r="H25" s="1101">
        <f>IF(I25=0,0,H9-0.01)</f>
        <v>0</v>
      </c>
      <c r="I25" s="1103">
        <f>IFERROR(IF($B$6="ламель100",H10*VLOOKUP(H8,Данные1!$AP$78:$AR$87,2,FALSE),0),0)</f>
        <v>0</v>
      </c>
      <c r="K25" s="1087"/>
    </row>
    <row r="26" spans="1:11" ht="16.5" customHeight="1" x14ac:dyDescent="0.2">
      <c r="A26" s="1100" t="s">
        <v>1034</v>
      </c>
      <c r="B26" s="1101">
        <f>B25</f>
        <v>0</v>
      </c>
      <c r="C26" s="1102">
        <f t="shared" ref="C26:I28" si="1">C25</f>
        <v>0</v>
      </c>
      <c r="D26" s="1101">
        <f>D25</f>
        <v>0</v>
      </c>
      <c r="E26" s="1102">
        <f t="shared" ref="E26" si="2">E25</f>
        <v>0</v>
      </c>
      <c r="F26" s="1101">
        <f>F25</f>
        <v>0</v>
      </c>
      <c r="G26" s="1102">
        <f t="shared" ref="G26" si="3">G25</f>
        <v>0</v>
      </c>
      <c r="H26" s="1101">
        <f>H25</f>
        <v>0</v>
      </c>
      <c r="I26" s="1103">
        <f>I25</f>
        <v>0</v>
      </c>
      <c r="K26" s="1087"/>
    </row>
    <row r="27" spans="1:11" ht="16.5" customHeight="1" x14ac:dyDescent="0.2">
      <c r="A27" s="1100" t="s">
        <v>1035</v>
      </c>
      <c r="B27" s="1101">
        <f>IF(C27=0,0,B9-0.01)</f>
        <v>0</v>
      </c>
      <c r="C27" s="1102">
        <f>IFERROR(IF($B$6="ламель125",B10*VLOOKUP(B8,Данные1!$N$78:$O$92,2,FALSE),0),0)</f>
        <v>0</v>
      </c>
      <c r="D27" s="1101">
        <f>IF(E27=0,0,D9-0.01)</f>
        <v>0</v>
      </c>
      <c r="E27" s="1102">
        <f>IFERROR(IF($B$6="ламель125",D10*VLOOKUP(D8,Данные1!$N$78:$O$92,2,FALSE),0),0)</f>
        <v>0</v>
      </c>
      <c r="F27" s="1101">
        <f>IF(G27=0,0,F9-0.01)</f>
        <v>0</v>
      </c>
      <c r="G27" s="1102">
        <f>IFERROR(IF($B$6="ламель125",F10*VLOOKUP(F8,Данные1!$N$78:$O$92,2,FALSE),0),0)</f>
        <v>0</v>
      </c>
      <c r="H27" s="1101">
        <f>IF(I27=0,0,H9-0.01)</f>
        <v>0</v>
      </c>
      <c r="I27" s="1103">
        <f>IFERROR(IF($B$6="ламель125",H10*VLOOKUP(H8,Данные1!$N$78:$O$92,2,FALSE),0),0)</f>
        <v>0</v>
      </c>
      <c r="K27" s="1087"/>
    </row>
    <row r="28" spans="1:11" ht="16.5" customHeight="1" x14ac:dyDescent="0.2">
      <c r="A28" s="1100" t="s">
        <v>1036</v>
      </c>
      <c r="B28" s="1101">
        <f>B27</f>
        <v>0</v>
      </c>
      <c r="C28" s="1102">
        <f t="shared" si="1"/>
        <v>0</v>
      </c>
      <c r="D28" s="1101">
        <f t="shared" si="1"/>
        <v>0</v>
      </c>
      <c r="E28" s="1102">
        <f t="shared" si="1"/>
        <v>0</v>
      </c>
      <c r="F28" s="1101">
        <f t="shared" si="1"/>
        <v>0</v>
      </c>
      <c r="G28" s="1102">
        <f t="shared" si="1"/>
        <v>0</v>
      </c>
      <c r="H28" s="1101">
        <f t="shared" si="1"/>
        <v>0</v>
      </c>
      <c r="I28" s="1103">
        <f t="shared" si="1"/>
        <v>0</v>
      </c>
      <c r="K28" s="1087"/>
    </row>
    <row r="29" spans="1:11" ht="16.5" customHeight="1" x14ac:dyDescent="0.2">
      <c r="A29" s="1100" t="s">
        <v>1037</v>
      </c>
      <c r="B29" s="1101">
        <f>IF(OR(C29=0,B7="-"),0,B9-0.01)</f>
        <v>0</v>
      </c>
      <c r="C29" s="1102">
        <f>IFERROR(IF($B$6="ламель150",IF(B7="25мм",B10*VLOOKUP(B8,Данные1!$R$78:$S$84,2,FALSE),IF(B7="50мм",B10*VLOOKUP(B8,Данные1!$V$78:$W$89,2,FALSE))),0),0)</f>
        <v>0</v>
      </c>
      <c r="D29" s="1101">
        <f>IF(OR(E29=0,D7="-"),0,D9-0.01)</f>
        <v>0</v>
      </c>
      <c r="E29" s="1102">
        <f>IFERROR(IF($B$6="ламель150",IF(B7="25мм",D10*VLOOKUP(D8,Данные1!$R$78:$S$84,2,FALSE),IF(B7="50мм",D10*VLOOKUP(D8,Данные1!$V$78:$W$89,2,FALSE))),0),0)</f>
        <v>0</v>
      </c>
      <c r="F29" s="1101">
        <f>IF(OR(G29=0,F7="-"),0,F9-0.01)</f>
        <v>0</v>
      </c>
      <c r="G29" s="1102">
        <f>IFERROR(IF($B$6="ламель150",IF(B7="25мм",F10*VLOOKUP(F8,Данные1!$R$78:$S$84,2,FALSE),IF(B7="50мм",F10*VLOOKUP(F8,Данные1!$V$78:$W$89,2,FALSE))),0),0)</f>
        <v>0</v>
      </c>
      <c r="H29" s="1101">
        <f>IF(OR(I29=0,H7="-"),0,H9-0.01)</f>
        <v>0</v>
      </c>
      <c r="I29" s="1103">
        <f>IFERROR(IF($B$6="ламель150",IF(B7="25мм",H10*VLOOKUP(H8,Данные1!$R$78:$S$84,2,FALSE),IF(B7="50мм",H10*VLOOKUP(H8,Данные1!$V$78:$W$89,2,FALSE))),0),0)</f>
        <v>0</v>
      </c>
      <c r="K29" s="1087"/>
    </row>
    <row r="30" spans="1:11" ht="16.5" customHeight="1" x14ac:dyDescent="0.2">
      <c r="A30" s="1100" t="s">
        <v>1038</v>
      </c>
      <c r="B30" s="1101">
        <f>B29</f>
        <v>0</v>
      </c>
      <c r="C30" s="1102">
        <f t="shared" ref="C30:I30" si="4">C29</f>
        <v>0</v>
      </c>
      <c r="D30" s="1101">
        <f t="shared" si="4"/>
        <v>0</v>
      </c>
      <c r="E30" s="1102">
        <f t="shared" si="4"/>
        <v>0</v>
      </c>
      <c r="F30" s="1101">
        <f t="shared" si="4"/>
        <v>0</v>
      </c>
      <c r="G30" s="1102">
        <f t="shared" si="4"/>
        <v>0</v>
      </c>
      <c r="H30" s="1101">
        <f t="shared" si="4"/>
        <v>0</v>
      </c>
      <c r="I30" s="1103">
        <f t="shared" si="4"/>
        <v>0</v>
      </c>
      <c r="K30" s="1087"/>
    </row>
    <row r="31" spans="1:11" ht="16.5" customHeight="1" x14ac:dyDescent="0.2">
      <c r="A31" s="1100" t="s">
        <v>1039</v>
      </c>
      <c r="B31" s="1101">
        <f>IF(C31=0,0,B9-0.01)</f>
        <v>0</v>
      </c>
      <c r="C31" s="1102">
        <f>IFERROR(IF($B$6="ламель200",IF(B7="25мм",B10*VLOOKUP(B8,Данные1!$AH$78:$AI$88,2,FALSE),IF(B7="50мм",B10*VLOOKUP(B8,Данные1!$AL$78:$AM$87,2,FALSE))),0),0)</f>
        <v>0</v>
      </c>
      <c r="D31" s="1101">
        <f>IF(E31=0,0,D9-0.01)</f>
        <v>0</v>
      </c>
      <c r="E31" s="1102">
        <f>IFERROR(IF($B$6="ламель200",IF(B7="25мм",D10*VLOOKUP(D8,Данные1!$AH$78:$AI$88,2,FALSE),IF(B7="50мм",D10*VLOOKUP(D8,Данные1!$AL$78:$AM$87,2,FALSE))),0),0)</f>
        <v>0</v>
      </c>
      <c r="F31" s="1101">
        <f>IF(G31=0,0,F9-0.01)</f>
        <v>0</v>
      </c>
      <c r="G31" s="1102">
        <f>IFERROR(IF($B$6="ламель200",IF(B7="25мм",F10*VLOOKUP(F8,Данные1!$AH$78:$AI$88,2,FALSE),IF(B7="50мм",F10*VLOOKUP(F8,Данные1!$AL$78:$AM$87,2,FALSE))),0),0)</f>
        <v>0</v>
      </c>
      <c r="H31" s="1101">
        <f>IF(I31=0,0,H9-0.01)</f>
        <v>0</v>
      </c>
      <c r="I31" s="1103">
        <f>IFERROR(IF($B$6="ламель200",IF(B7="25мм",H10*VLOOKUP(H8,Данные1!$AH$78:$AI$88,2,FALSE),IF(B7="50мм",H10*VLOOKUP(H8,Данные1!$AL$78:$AM$87,2,FALSE))),0),0)</f>
        <v>0</v>
      </c>
      <c r="K31" s="1087"/>
    </row>
    <row r="32" spans="1:11" ht="16.5" customHeight="1" x14ac:dyDescent="0.2">
      <c r="A32" s="1100" t="s">
        <v>1040</v>
      </c>
      <c r="B32" s="1101">
        <f t="shared" ref="B32:I32" si="5">B31</f>
        <v>0</v>
      </c>
      <c r="C32" s="1102">
        <f t="shared" si="5"/>
        <v>0</v>
      </c>
      <c r="D32" s="1101">
        <f t="shared" si="5"/>
        <v>0</v>
      </c>
      <c r="E32" s="1102">
        <f t="shared" si="5"/>
        <v>0</v>
      </c>
      <c r="F32" s="1101">
        <f t="shared" si="5"/>
        <v>0</v>
      </c>
      <c r="G32" s="1102">
        <f t="shared" si="5"/>
        <v>0</v>
      </c>
      <c r="H32" s="1101">
        <f t="shared" si="5"/>
        <v>0</v>
      </c>
      <c r="I32" s="1103">
        <f t="shared" si="5"/>
        <v>0</v>
      </c>
      <c r="K32" s="1087"/>
    </row>
    <row r="33" spans="1:11" ht="16.5" customHeight="1" x14ac:dyDescent="0.2">
      <c r="A33" s="1100" t="s">
        <v>1041</v>
      </c>
      <c r="B33" s="1101">
        <f>IF(B7="25мм",25,50)</f>
        <v>25</v>
      </c>
      <c r="C33" s="1102"/>
      <c r="D33" s="1101">
        <f>IF(B7="25мм",25,50)</f>
        <v>25</v>
      </c>
      <c r="E33" s="1102"/>
      <c r="F33" s="1101">
        <f>IF(B7="25мм",25,50)</f>
        <v>25</v>
      </c>
      <c r="G33" s="1102"/>
      <c r="H33" s="1101">
        <f>IF(B7="25мм",25,50)</f>
        <v>25</v>
      </c>
      <c r="I33" s="1103"/>
      <c r="K33" s="1087"/>
    </row>
    <row r="34" spans="1:11" ht="16.5" customHeight="1" x14ac:dyDescent="0.2">
      <c r="A34" s="1100" t="s">
        <v>1042</v>
      </c>
      <c r="B34" s="1101">
        <f>IF(C34=0,0,IF(AND(B9&gt;=0.5,B9&lt;=2),2,IF(AND(B9&gt;2,B9&lt;=2.5),2.5,IF(AND(B9&gt;2.5,B9&lt;=3),3,0))))</f>
        <v>0</v>
      </c>
      <c r="C34" s="1102">
        <f>IF(C36&gt;0,0,IF(AND(B9&lt;1.5,B9&lt;&gt;0,OR($B$6="ламель125",$B$6="ламель100")),1*B10,0))</f>
        <v>0</v>
      </c>
      <c r="D34" s="1101">
        <f>IF(E34=0,0,IF(AND(D9&gt;=0.5,D9&lt;=2),2,IF(AND(D9&gt;2,D9&lt;=2.5),2.5,IF(AND(D9&gt;2.5,D9&lt;=3),3,0))))</f>
        <v>0</v>
      </c>
      <c r="E34" s="1102">
        <f>IF(E36&gt;0,0,IF(AND(D9&lt;1.5,D9&lt;&gt;0,OR($B$6="ламель125",$B$6="ламель100")),1*D10,0))</f>
        <v>0</v>
      </c>
      <c r="F34" s="1101">
        <f>IF(G34=0,0,IF(AND(F9&gt;=0.5,F9&lt;=2),2,IF(AND(F9&gt;2,F9&lt;=2.5),2.5,IF(AND(F9&gt;2.5,F9&lt;=3),3,0))))</f>
        <v>0</v>
      </c>
      <c r="G34" s="1102">
        <f>IF(G36&gt;0,0,IF(AND(F9&lt;1.5,F9&lt;&gt;0,OR($B$6="ламель125",$B$6="ламель100")),1*F10,0))</f>
        <v>0</v>
      </c>
      <c r="H34" s="1101">
        <f>IF(I34=0,0,IF(AND(H9&gt;=0.5,H9&lt;=2),2,IF(AND(H9&gt;2,H9&lt;=2.5),2.5,IF(AND(H9&gt;2.5,H9&lt;=3),3,0))))</f>
        <v>0</v>
      </c>
      <c r="I34" s="1103">
        <f>IF(I36&gt;0,0,IF(AND(H9&lt;1.5,H9&lt;&gt;0,OR($B$6="ламель125",$B$6="ламель100")),1*H10,0))</f>
        <v>0</v>
      </c>
      <c r="K34" s="1087"/>
    </row>
    <row r="35" spans="1:11" ht="16.5" customHeight="1" x14ac:dyDescent="0.2">
      <c r="A35" s="1100" t="s">
        <v>1043</v>
      </c>
      <c r="B35" s="1101">
        <f>IF(C35=0,0,IF(AND(B9&gt;=0.5,B9&lt;=2),2,IF(AND(B9&gt;2,B9&lt;=2.5),2.5,IF(AND(B9&gt;2.5,B9&lt;=3),3,0))))</f>
        <v>0</v>
      </c>
      <c r="C35" s="1102">
        <f>IF(C36&gt;0,0,IF(AND(B9&lt;1.5,B9&lt;&gt;0,OR(B6="ламель50",B6="ламель150",B6="ламель200")),1*B10,0))</f>
        <v>0</v>
      </c>
      <c r="D35" s="1101">
        <f>IF(E35=0,0,IF(AND(D9&gt;=0.5,D9&lt;=2),2,IF(AND(D9&gt;2,D9&lt;=2.5),2.5,IF(AND(D9&gt;2.5,D9&lt;=3),3,0))))</f>
        <v>0</v>
      </c>
      <c r="E35" s="1102">
        <f>IF(E36&gt;0,0,IF(AND(D9&lt;1.5,D9&lt;&gt;0,OR(B6="ламель50",B6="ламель150",B6="ламель200")),1*D10,0))</f>
        <v>0</v>
      </c>
      <c r="F35" s="1101">
        <f>IF(G35=0,0,IF(AND(F9&gt;=0.5,F9&lt;=2),2,IF(AND(F9&gt;2,F9&lt;=2.5),2.5,IF(AND(F9&gt;2.5,F9&lt;=3),3,0))))</f>
        <v>0</v>
      </c>
      <c r="G35" s="1102">
        <f>IF(G36&gt;0,0,IF(AND(F9&lt;1.5,F9&lt;&gt;0,OR(B6="ламель50",B6="ламель150",B6="ламель200")),1*F10,0))</f>
        <v>0</v>
      </c>
      <c r="H35" s="1101">
        <f>IF(I35=0,0,IF(AND(H9&gt;=0.5,H9&lt;=2),2,IF(AND(H9&gt;2,H9&lt;=2.5),2.5,IF(AND(H9&gt;2.5,H9&lt;=3),3,0))))</f>
        <v>0</v>
      </c>
      <c r="I35" s="1103">
        <f>IF(I36&gt;0,0,IF(AND(H9&lt;1.5,H9&lt;&gt;0,OR(B6="ламель50",B6="ламель150",B6="ламель200")),1*H10,0))</f>
        <v>0</v>
      </c>
      <c r="K35" s="1087"/>
    </row>
    <row r="36" spans="1:11" ht="16.5" customHeight="1" x14ac:dyDescent="0.2">
      <c r="A36" s="1100" t="s">
        <v>1044</v>
      </c>
      <c r="B36" s="1101">
        <f>IF(C36=0,0,IF(AND(B9&gt;=0.5,B9&lt;=2),2,IF(AND(B9&gt;2,B9&lt;=2.5),2.5,IF(AND(B9&gt;2.5,B9&lt;=3),3,0))))</f>
        <v>0</v>
      </c>
      <c r="C36" s="1102">
        <f>IF(C39&gt;0,1*B10,0)</f>
        <v>0</v>
      </c>
      <c r="D36" s="1101">
        <f>IF(E36=0,0,IF(AND(D9&gt;=0.5,D9&lt;=2),2,IF(AND(D9&gt;2,D9&lt;=2.5),2.5,IF(AND(D9&gt;2.5,D9&lt;=3),3,0))))</f>
        <v>0</v>
      </c>
      <c r="E36" s="1102">
        <f>IF(E39&gt;0,1*D10,0)</f>
        <v>0</v>
      </c>
      <c r="F36" s="1101">
        <f>IF(G36=0,0,IF(AND(F9&gt;=0.5,F9&lt;=2),2,IF(AND(F9&gt;2,F9&lt;=2.5),2.5,IF(AND(F9&gt;2.5,F9&lt;=3),3,0))))</f>
        <v>0</v>
      </c>
      <c r="G36" s="1102">
        <f>IF(G39&gt;0,1*F10,0)</f>
        <v>0</v>
      </c>
      <c r="H36" s="1101">
        <f>IF(I36=0,0,IF(AND(H9&gt;=0.5,H9&lt;=2),2,IF(AND(H9&gt;2,H9&lt;=2.5),2.5,IF(AND(H9&gt;2.5,H9&lt;=3),3,0))))</f>
        <v>0</v>
      </c>
      <c r="I36" s="1103">
        <f>IF(I39&gt;0,1*H10,0)</f>
        <v>0</v>
      </c>
      <c r="K36" s="1087"/>
    </row>
    <row r="37" spans="1:11" ht="16.5" customHeight="1" x14ac:dyDescent="0.2">
      <c r="A37" s="1100" t="s">
        <v>976</v>
      </c>
      <c r="B37" s="1101">
        <f>IF(AND(B8&gt;0,B13="да"),0,IF(AND(B8&gt;=0.1, B8&lt;=1.8), 1.8, IF(AND(B8&gt;1.8, B8&lt;=2), 2, IF(AND(B8&gt;2, B8&lt;=2.5), 2.5, IF(AND(B8&gt;2.5, B8&lt;=3), 3, 0)))))</f>
        <v>0</v>
      </c>
      <c r="C37" s="1102">
        <f>IF(B37=0,0,IF(B10=0,0,IF(B10=1,2*2,IF(B12=0,(B10+1)*2-C38,(B10+1+B12)*2-C38))))</f>
        <v>0</v>
      </c>
      <c r="D37" s="1101">
        <f>IF(AND(D8&gt;0,D13="да"),0,IF(AND(D8&gt;=0.1, D8&lt;=1.8), 1.8, IF(AND(D8&gt;1.8, D8&lt;=2), 2, IF(AND(D8&gt;2, D8&lt;=2.5), 2.5, IF(AND(D8&gt;2.5, D8&lt;=3), 3, 0)))))</f>
        <v>0</v>
      </c>
      <c r="E37" s="1102">
        <f>IF(D37=0,0,IF(D10=0,0,IF(D10=1,2*2,IF(D12=0,(D10+1)*2-E38,(D10+1+D12)*2-E38))))</f>
        <v>0</v>
      </c>
      <c r="F37" s="1101">
        <f>IF(AND(F8&gt;0,F13="да"),0,IF(AND(F8&gt;=0.1, F8&lt;=1.8), 1.8, IF(AND(F8&gt;1.8, F8&lt;=2), 2, IF(AND(F8&gt;2, F8&lt;=2.5), 2.5, IF(AND(F8&gt;2.5, F8&lt;=3), 3, 0)))))</f>
        <v>0</v>
      </c>
      <c r="G37" s="1102">
        <f>IF(F37=0,0,IF(F10=0,0,IF(F10=1,2*2,IF(F12=0,(F10+1)*2-G38,(F10+1+F12)*2-G38))))</f>
        <v>0</v>
      </c>
      <c r="H37" s="1101">
        <f>IF(AND(H8&gt;0,H13="да"),0,IF(AND(H8&gt;=0.1, H8&lt;=1.8), 1.8, IF(AND(H8&gt;1.8, H8&lt;=2), 2, IF(AND(H8&gt;2, H8&lt;=2.5), 2.5, IF(AND(H8&gt;2.5, H8&lt;=3), 3, 0)))))</f>
        <v>0</v>
      </c>
      <c r="I37" s="1103">
        <f>IF(H37=0,0,IF(H10=0,0,IF(H10=1,2*2,IF(H12=0,(H10+1)*2-I38,(H10+1+H12)*2-I38))))</f>
        <v>0</v>
      </c>
    </row>
    <row r="38" spans="1:11" ht="16.5" customHeight="1" x14ac:dyDescent="0.2">
      <c r="A38" s="1100" t="s">
        <v>977</v>
      </c>
      <c r="B38" s="1101">
        <f>IF(OR(AND(B11=0,B12=0),B13="да"),0,IF(AND(B8&gt;=0.1, B8&lt;=1.8), 1.8, IF(AND(B8&gt;1.8, B8&lt;=2), 2, IF(AND(B8&gt;2, B8&lt;=2.5), 2.5, IF(AND(B8&gt;2.5, B8&lt;=3), 3, 0)))))</f>
        <v>0</v>
      </c>
      <c r="C38" s="1102">
        <f>IF(B38=0,0,B11*2*2+B12*2)</f>
        <v>0</v>
      </c>
      <c r="D38" s="1101">
        <f>IF(OR(AND(D11=0,D12=0),D13="да"),0,IF(AND(D8&gt;=0.1, D8&lt;=1.8), 1.8, IF(AND(D8&gt;1.8, D8&lt;=2), 2, IF(AND(D8&gt;2, D8&lt;=2.5), 2.5, IF(AND(D8&gt;2.5, D8&lt;=3), 3, 0)))))</f>
        <v>0</v>
      </c>
      <c r="E38" s="1102">
        <f>IF(D38=0,0,D11*2*2+D12*2)</f>
        <v>0</v>
      </c>
      <c r="F38" s="1101">
        <f>IF(OR(AND(F11=0,F12=0),F13="да"),0,IF(AND(F8&gt;=0.1, F8&lt;=1.8), 1.8, IF(AND(F8&gt;1.8, F8&lt;=2), 2, IF(AND(F8&gt;2, F8&lt;=2.5), 2.5, IF(AND(F8&gt;2.5, F8&lt;=3), 3, 0)))))</f>
        <v>0</v>
      </c>
      <c r="G38" s="1102">
        <f>IF(F38=0,0,F11*2*2+F12*2)</f>
        <v>0</v>
      </c>
      <c r="H38" s="1101">
        <f>IF(OR(AND(H11=0,H12=0),H13="да"),0,IF(AND(H8&gt;=0.1, H8&lt;=1.8), 1.8, IF(AND(H8&gt;1.8, H8&lt;=2), 2, IF(AND(H8&gt;2, H8&lt;=2.5), 2.5, IF(AND(H8&gt;2.5, H8&lt;=3), 3, 0)))))</f>
        <v>0</v>
      </c>
      <c r="I38" s="1103">
        <f>IF(H38=0,0,H11*2*2+H12*2)</f>
        <v>0</v>
      </c>
    </row>
    <row r="39" spans="1:11" ht="16.5" customHeight="1" x14ac:dyDescent="0.2">
      <c r="A39" s="1100" t="s">
        <v>1045</v>
      </c>
      <c r="B39" s="1101">
        <f>IF(C39=0,0,IF(B10=0,0,IF(AND(B8&gt;=0.1, B8&lt;=1.8), 1.8, IF(AND(B8&gt;1.8, B8&lt;=2), 2, IF(AND(B8&gt;2, B8&lt;=2.5), 2.5, IF(AND(B8&gt;2.5, B8&lt;=3), 3, 0))))))</f>
        <v>0</v>
      </c>
      <c r="C39" s="1102">
        <f>B10*(IF(AND(B9&gt;=0,B9&lt;=1),0,IF(AND(B9&gt;1.1,B9&lt;=1.99),1,IF(AND(B9&gt;=2,B9&lt;=3),2,0))))</f>
        <v>0</v>
      </c>
      <c r="D39" s="1101">
        <f>IF(E39=0,0,IF(D10=0,0,IF(AND(D8&gt;=0.1, D8&lt;=1.8), 1.8, IF(AND(D8&gt;1.8, D8&lt;=2), 2, IF(AND(D8&gt;2, D8&lt;=2.5), 2.5, IF(AND(D8&gt;2.5, D8&lt;=3), 3, 0))))))</f>
        <v>0</v>
      </c>
      <c r="E39" s="1102">
        <f>D10*(IF(AND(D9&gt;=0,D9&lt;=1),0,IF(AND(D9&gt;1.1,D9&lt;=1.99),1,IF(AND(D9&gt;=2,D9&lt;=3),2,0))))</f>
        <v>0</v>
      </c>
      <c r="F39" s="1101">
        <f>IF(G39=0,0,IF(F10=0,0,IF(AND(F8&gt;=0.1, F8&lt;=1.8), 1.8, IF(AND(F8&gt;1.8, F8&lt;=2), 2, IF(AND(F8&gt;2, F8&lt;=2.5), 2.5, IF(AND(F8&gt;2.5, F8&lt;=3), 3, 0))))))</f>
        <v>0</v>
      </c>
      <c r="G39" s="1102">
        <f>F10*(IF(AND(F9&gt;=0,F9&lt;=1),0,IF(AND(F9&gt;1.1,F9&lt;=1.99),1,IF(AND(F9&gt;=2,F9&lt;=3),2,0))))</f>
        <v>0</v>
      </c>
      <c r="H39" s="1101">
        <f>IF(I39=0,0,IF(H10=0,0,IF(AND(H8&gt;=0.1, H8&lt;=1.8), 1.8, IF(AND(H8&gt;1.8, H8&lt;=2), 2, IF(AND(H8&gt;2, H8&lt;=2.5), 2.5, IF(AND(H8&gt;2.5, H8&lt;=3), 3, 0))))))</f>
        <v>0</v>
      </c>
      <c r="I39" s="1103">
        <f>H10*(IF(AND(H9&gt;=0,H9&lt;=1),0,IF(AND(H9&gt;1.1,H9&lt;=1.99),1,IF(AND(H9&gt;=2,H9&lt;=3),2,0))))</f>
        <v>0</v>
      </c>
    </row>
    <row r="40" spans="1:11" ht="16.5" customHeight="1" x14ac:dyDescent="0.2">
      <c r="A40" s="1100" t="s">
        <v>1046</v>
      </c>
      <c r="B40" s="1101">
        <f>IF(C40=0,0,IF(B10=0,0,IF(AND(B8&gt;=0.1, B8&lt;=1.8), 1.8, IF(AND(B8&gt;1.8, B8&lt;=2), 2, IF(AND(B8&gt;2, B8&lt;=2.5), 2.5, IF(AND(B8&gt;2.5, B8&lt;=3), 3, 0))))))</f>
        <v>0</v>
      </c>
      <c r="C40" s="1102">
        <f>C39</f>
        <v>0</v>
      </c>
      <c r="D40" s="1101">
        <f>IF(E40=0,0,IF(D10=0,0,IF(AND(D8&gt;=0.1, D8&lt;=1.8), 1.8, IF(AND(D8&gt;1.8, D8&lt;=2), 2, IF(AND(D8&gt;2, D8&lt;=2.5), 2.5, IF(AND(D8&gt;2.5, D8&lt;=3), 3, 0))))))</f>
        <v>0</v>
      </c>
      <c r="E40" s="1102">
        <f>E39</f>
        <v>0</v>
      </c>
      <c r="F40" s="1101">
        <f>IF(G40=0,0,IF(F10=0,0,IF(AND(F8&gt;=0.1, F8&lt;=1.8), 1.8, IF(AND(F8&gt;1.8, F8&lt;=2), 2, IF(AND(F8&gt;2, F8&lt;=2.5), 2.5, IF(AND(F8&gt;2.5, F8&lt;=3), 3, 0))))))</f>
        <v>0</v>
      </c>
      <c r="G40" s="1102">
        <f>G39</f>
        <v>0</v>
      </c>
      <c r="H40" s="1101">
        <f>IF(I40=0,0,IF(H10=0,0,IF(AND(H8&gt;=0.1, H8&lt;=1.8), 1.8, IF(AND(H8&gt;1.8, H8&lt;=2), 2, IF(AND(H8&gt;2, H8&lt;=2.5), 2.5, IF(AND(H8&gt;2.5, H8&lt;=3), 3, 0))))))</f>
        <v>0</v>
      </c>
      <c r="I40" s="1103">
        <f>I39</f>
        <v>0</v>
      </c>
    </row>
    <row r="41" spans="1:11" ht="16.5" customHeight="1" x14ac:dyDescent="0.2">
      <c r="A41" s="1100" t="s">
        <v>1016</v>
      </c>
      <c r="B41" s="1101">
        <f>IF(B10=0,0,IF(AND(B8&gt;=0.1, B8&lt;=1.8), 1.8, IF(AND(B8&gt;1.8, B8&lt;=2), 2, IF(AND(B8&gt;2, B8&lt;=2.5), 2.5, IF(AND(B8&gt;2.5, B8&lt;=3), 3, 0)))))</f>
        <v>0</v>
      </c>
      <c r="C41" s="1102">
        <f>2*B10</f>
        <v>0</v>
      </c>
      <c r="D41" s="1101">
        <f>IF(D10=0,0,IF(AND(D8&gt;=0.1, D8&lt;=1.8), 1.8, IF(AND(D8&gt;1.8, D8&lt;=2), 2, IF(AND(D8&gt;2, D8&lt;=2.5), 2.5, IF(AND(D8&gt;2.5, D8&lt;=3), 3, 0)))))</f>
        <v>0</v>
      </c>
      <c r="E41" s="1102">
        <f>2*D10</f>
        <v>0</v>
      </c>
      <c r="F41" s="1101">
        <f>IF(F10=0,0,IF(AND(F8&gt;=0.1, F8&lt;=1.8), 1.8, IF(AND(F8&gt;1.8, F8&lt;=2), 2, IF(AND(F8&gt;2, F8&lt;=2.5), 2.5, IF(AND(F8&gt;2.5, F8&lt;=3), 3, 0)))))</f>
        <v>0</v>
      </c>
      <c r="G41" s="1102">
        <f>2*F10</f>
        <v>0</v>
      </c>
      <c r="H41" s="1101">
        <f>IF(H10=0,0,IF(AND(H8&gt;=0.1, H8&lt;=1.8), 1.8, IF(AND(H8&gt;1.8, H8&lt;=2), 2, IF(AND(H8&gt;2, H8&lt;=2.5), 2.5, IF(AND(H8&gt;2.5, H8&lt;=3), 3, 0)))))</f>
        <v>0</v>
      </c>
      <c r="I41" s="1103">
        <f>2*H10</f>
        <v>0</v>
      </c>
    </row>
    <row r="42" spans="1:11" ht="16.5" customHeight="1" x14ac:dyDescent="0.2">
      <c r="A42" s="1106" t="s">
        <v>1047</v>
      </c>
      <c r="B42" s="1107" t="s">
        <v>18</v>
      </c>
      <c r="C42" s="1102">
        <f>IF(B13="да",0,(IF(B10=0,0,IF(B10=1,2,IF(B12=0,B10+1,B10+1+B12)))))</f>
        <v>0</v>
      </c>
      <c r="D42" s="1107" t="s">
        <v>18</v>
      </c>
      <c r="E42" s="1102">
        <f>IF(D13="да",0,(IF(D10=0,0,IF(D10=1,2,IF(D12=0,D10+1,D10+1+D12)))))</f>
        <v>0</v>
      </c>
      <c r="F42" s="1107" t="s">
        <v>18</v>
      </c>
      <c r="G42" s="1102">
        <f>IF(F13="да",0,(IF(F10=0,0,IF(F10=1,2,IF(F12=0,F10+1,F10+1+F12)))))</f>
        <v>0</v>
      </c>
      <c r="H42" s="1107" t="s">
        <v>18</v>
      </c>
      <c r="I42" s="1103">
        <f>IF(H13="да",0,(IF(H10=0,0,IF(H10=1,2,IF(H12=0,H10+1,H10+1+H12)))))</f>
        <v>0</v>
      </c>
    </row>
    <row r="43" spans="1:11" ht="16.5" customHeight="1" x14ac:dyDescent="0.2">
      <c r="A43" s="1109" t="s">
        <v>1048</v>
      </c>
      <c r="B43" s="1107" t="str">
        <f>IF(C43=0,"-","4,2x16")</f>
        <v>-</v>
      </c>
      <c r="C43" s="1102">
        <f>IF(B13="да",0,(C41*5))</f>
        <v>0</v>
      </c>
      <c r="D43" s="1107" t="str">
        <f>IF(E43=0,"-","4,2x16")</f>
        <v>-</v>
      </c>
      <c r="E43" s="1102">
        <f>IF(D13="да",0,(E41*5))</f>
        <v>0</v>
      </c>
      <c r="F43" s="1107" t="str">
        <f>IF(G43=0,"-","4,2x16")</f>
        <v>-</v>
      </c>
      <c r="G43" s="1102">
        <f>IF(F13="да",0,(G41*5))</f>
        <v>0</v>
      </c>
      <c r="H43" s="1107" t="str">
        <f>IF(I43=0,"-","4,2x16")</f>
        <v>-</v>
      </c>
      <c r="I43" s="1103">
        <f>IF(H13="да",0,(I41*5))</f>
        <v>0</v>
      </c>
    </row>
    <row r="44" spans="1:11" ht="16.5" customHeight="1" x14ac:dyDescent="0.2">
      <c r="A44" s="1100" t="s">
        <v>982</v>
      </c>
      <c r="B44" s="1107" t="str">
        <f>IF(C44=0,"-","4,2x16")</f>
        <v>-</v>
      </c>
      <c r="C44" s="1111">
        <f>IF(B10=0,0,IF(B17="нет",4*(C34+C35+C36)+8*(C25+C23+C27+C29+C31)+((C25+C23+C27+C29+C31)*C39/B10),4*(C34+C35+C36)+((C25+C23+C27+C29+C31)*C39/B10)))</f>
        <v>0</v>
      </c>
      <c r="D44" s="1107" t="str">
        <f>IF(E44=0,"-","4,2x16")</f>
        <v>-</v>
      </c>
      <c r="E44" s="1111">
        <f>IF(D10=0,0,IF(D17="нет",4*(E34+E35+E36)+8*(E25+E23+E27+E29+E31)+((E25+E23+E27+E29+E31)*E39/D10),4*(E34+E35+E36)+((E25+E23+E27+E29+E31)*E39/D10)))</f>
        <v>0</v>
      </c>
      <c r="F44" s="1107" t="str">
        <f>IF(G44=0,"-","4,2x16")</f>
        <v>-</v>
      </c>
      <c r="G44" s="1111">
        <f>IF(F10=0,0,IF(F17="нет",4*(G34+G35+G36)+8*(G25+G23+G27+G29+G31)+((G25+G23+G27+G29+G31)*G39/F10),4*(G34+G35+G36)+((G25+G23+G27+G29+G31)*G39/F10)))</f>
        <v>0</v>
      </c>
      <c r="H44" s="1107" t="str">
        <f>IF(I44=0,"-","4,2x16")</f>
        <v>-</v>
      </c>
      <c r="I44" s="1111">
        <f>IF(H10=0,0,IF(H17="нет",4*(I34+I35+I36)+8*(I25+I23+I27+I29+I31)+((I25+I23+I27+I29+I31)*I39/H10),4*(I34+I35+I36)+((I25+I23+I27+I29+I31)*I39/H10)))</f>
        <v>0</v>
      </c>
    </row>
    <row r="45" spans="1:11" ht="16.5" customHeight="1" x14ac:dyDescent="0.2">
      <c r="A45" s="1100" t="s">
        <v>983</v>
      </c>
      <c r="B45" s="1107" t="str">
        <f>IF(C45=0,"-","7,5x52")</f>
        <v>-</v>
      </c>
      <c r="C45" s="1102">
        <f>IF(B$10=0,0,IF(B$13="да",C41*5,0))</f>
        <v>0</v>
      </c>
      <c r="D45" s="1107" t="str">
        <f>IF(E45=0,"-","7,5x52")</f>
        <v>-</v>
      </c>
      <c r="E45" s="1102">
        <f>IF(D$10=0,0,IF(D$13="да",E41*5,0))</f>
        <v>0</v>
      </c>
      <c r="F45" s="1107" t="str">
        <f>IF(G45=0,"-","7,5x52")</f>
        <v>-</v>
      </c>
      <c r="G45" s="1102">
        <f>IF(F$10=0,0,IF(F$13="да",G41*5,0))</f>
        <v>0</v>
      </c>
      <c r="H45" s="1107" t="str">
        <f>IF(I45=0,"-","7,5x52")</f>
        <v>-</v>
      </c>
      <c r="I45" s="1103">
        <f>IF(H$10=0,0,IF(H$13="да",I41*5,0))</f>
        <v>0</v>
      </c>
    </row>
    <row r="46" spans="1:11" ht="16.5" customHeight="1" x14ac:dyDescent="0.2">
      <c r="A46" s="1100" t="s">
        <v>984</v>
      </c>
      <c r="B46" s="1107"/>
      <c r="C46" s="1102">
        <f>C45</f>
        <v>0</v>
      </c>
      <c r="D46" s="1107"/>
      <c r="E46" s="1102">
        <f>E45</f>
        <v>0</v>
      </c>
      <c r="F46" s="1107"/>
      <c r="G46" s="1102">
        <f>G45</f>
        <v>0</v>
      </c>
      <c r="H46" s="1107"/>
      <c r="I46" s="1103">
        <f>I45</f>
        <v>0</v>
      </c>
    </row>
    <row r="47" spans="1:11" ht="16.5" customHeight="1" x14ac:dyDescent="0.2">
      <c r="A47" s="1100" t="s">
        <v>985</v>
      </c>
      <c r="B47" s="1107" t="str">
        <f>IF(C47="инд. расчет","инд. расчет","")</f>
        <v/>
      </c>
      <c r="C47" s="1102">
        <f>IF(B8=0,0,IF(AND(B17="да",B8&lt;=2),B10*2,IF(AND(B17="нет",B8&gt;=2),0,ROUNDUP(B10*4,0))))</f>
        <v>0</v>
      </c>
      <c r="D47" s="1107" t="str">
        <f>IF(E47="инд. расчет","инд. расчет","")</f>
        <v/>
      </c>
      <c r="E47" s="1102">
        <f>IF(D8=0,0,IF(AND(D17="да",D8&lt;=2),D10*2,IF(AND(D17="нет",D8&gt;=2),0,ROUNDUP(D10*4,0))))</f>
        <v>0</v>
      </c>
      <c r="F47" s="1107" t="str">
        <f>IF(G47="инд. расчет","инд. расчет","")</f>
        <v/>
      </c>
      <c r="G47" s="1102">
        <f>IF(F8=0,0,IF(AND(F17="да",F8&lt;=2),F10*2,IF(AND(F17="нет",F8&gt;=2),0,ROUNDUP(F10*4,0))))</f>
        <v>0</v>
      </c>
      <c r="H47" s="1107" t="str">
        <f>IF(I47="инд. расчет","инд. расчет","")</f>
        <v/>
      </c>
      <c r="I47" s="1103">
        <f>IF(H8=0,0,IF(AND(H17="да",H8&lt;=2),H10*2,IF(AND(H17="нет",H8&gt;=2),0,ROUNDUP(H10*4,0))))</f>
        <v>0</v>
      </c>
    </row>
    <row r="48" spans="1:11" ht="34.5" customHeight="1" x14ac:dyDescent="0.2">
      <c r="A48" s="1100"/>
      <c r="B48" s="2500" t="str">
        <f>IF(B17="нет","Крепежный вкладыш не применяется","")</f>
        <v>Крепежный вкладыш не применяется</v>
      </c>
      <c r="C48" s="2501"/>
      <c r="D48" s="2500" t="str">
        <f>IF(D17="нет","Крепежный вкладыш не применяется","")</f>
        <v>Крепежный вкладыш не применяется</v>
      </c>
      <c r="E48" s="2501"/>
      <c r="F48" s="2500" t="str">
        <f>IF(F17="нет","Крепежный вкладыш не применяется","")</f>
        <v>Крепежный вкладыш не применяется</v>
      </c>
      <c r="G48" s="2501"/>
      <c r="H48" s="2500" t="str">
        <f>IF(H17="нет","Крепежный вкладыш не применяется","")</f>
        <v>Крепежный вкладыш не применяется</v>
      </c>
      <c r="I48" s="2501"/>
    </row>
    <row r="49" spans="1:11" ht="16.5" customHeight="1" x14ac:dyDescent="0.2">
      <c r="A49" s="1095" t="s">
        <v>986</v>
      </c>
      <c r="B49" s="1114"/>
      <c r="C49" s="1115"/>
      <c r="D49" s="1116"/>
      <c r="E49" s="1117"/>
      <c r="F49" s="1118"/>
      <c r="G49" s="1115"/>
      <c r="H49" s="1118"/>
      <c r="I49" s="1114"/>
    </row>
    <row r="50" spans="1:11" ht="16.5" customHeight="1" x14ac:dyDescent="0.2">
      <c r="A50" s="1100" t="str">
        <f>IF(B14="нет","-",B14)</f>
        <v>-</v>
      </c>
      <c r="B50" s="1119"/>
      <c r="C50" s="1102">
        <f>IF(AND(B6="ламель150", B7="25мм"), 0, IF(B$14=$A50, 1, 0))</f>
        <v>0</v>
      </c>
      <c r="D50" s="1120"/>
      <c r="E50" s="1102"/>
      <c r="F50" s="1120"/>
      <c r="G50" s="1102"/>
      <c r="H50" s="1120"/>
      <c r="I50" s="1103"/>
    </row>
    <row r="51" spans="1:11" ht="16.5" customHeight="1" x14ac:dyDescent="0.2">
      <c r="A51" s="1100" t="str">
        <f>IF(D14="нет","-",D14)</f>
        <v>-</v>
      </c>
      <c r="B51" s="1119"/>
      <c r="C51" s="1102"/>
      <c r="D51" s="1120"/>
      <c r="E51" s="1102">
        <f>IF(AND(B6="ламель150", B7="25мм"), 0, IF(D$14=$A51, 1, 0))</f>
        <v>0</v>
      </c>
      <c r="F51" s="1120"/>
      <c r="G51" s="1102"/>
      <c r="H51" s="1120"/>
      <c r="I51" s="1103"/>
    </row>
    <row r="52" spans="1:11" ht="16.5" customHeight="1" x14ac:dyDescent="0.2">
      <c r="A52" s="1100" t="str">
        <f>IF(F14="нет","-",F14)</f>
        <v>-</v>
      </c>
      <c r="B52" s="1119"/>
      <c r="C52" s="1102"/>
      <c r="D52" s="1120"/>
      <c r="E52" s="1102"/>
      <c r="F52" s="1120"/>
      <c r="G52" s="1102">
        <f>IF(AND(B6="ламель150", B7="25мм"), 0, IF(F$14=$A52, 1, 0))</f>
        <v>0</v>
      </c>
      <c r="H52" s="1120"/>
      <c r="I52" s="1103"/>
    </row>
    <row r="53" spans="1:11" ht="16.5" customHeight="1" x14ac:dyDescent="0.2">
      <c r="A53" s="1100" t="str">
        <f>IF(H14="нет","-",H14)</f>
        <v>-</v>
      </c>
      <c r="B53" s="1119"/>
      <c r="C53" s="1102"/>
      <c r="D53" s="1120"/>
      <c r="E53" s="1102"/>
      <c r="F53" s="1120"/>
      <c r="G53" s="1102"/>
      <c r="H53" s="1120"/>
      <c r="I53" s="1103">
        <f>IF(AND(B6="ламель150", B7="25мм"), 0, IF(H$14=$A53, 1, 0))</f>
        <v>0</v>
      </c>
    </row>
    <row r="54" spans="1:11" ht="16.5" customHeight="1" x14ac:dyDescent="0.2">
      <c r="A54" s="1095" t="s">
        <v>637</v>
      </c>
      <c r="B54" s="1114"/>
      <c r="C54" s="1115"/>
      <c r="D54" s="1116"/>
      <c r="E54" s="1115"/>
      <c r="F54" s="1118"/>
      <c r="G54" s="1115"/>
      <c r="H54" s="1118"/>
      <c r="I54" s="1114"/>
    </row>
    <row r="55" spans="1:11" ht="16.5" customHeight="1" x14ac:dyDescent="0.2">
      <c r="A55" s="1100" t="str">
        <f>IF(B15="нет","-",B15)</f>
        <v>-</v>
      </c>
      <c r="B55" s="1119"/>
      <c r="C55" s="1102">
        <f>IF(AND(B6="ламель150", B7="25мм"), 0, IF(B$15=$A55, 1, 0))</f>
        <v>0</v>
      </c>
      <c r="D55" s="1120"/>
      <c r="E55" s="1102"/>
      <c r="F55" s="1120"/>
      <c r="G55" s="1102"/>
      <c r="H55" s="1120"/>
      <c r="I55" s="1103"/>
    </row>
    <row r="56" spans="1:11" ht="16.5" customHeight="1" x14ac:dyDescent="0.2">
      <c r="A56" s="1100" t="str">
        <f>IF(D15="нет","-",D15)</f>
        <v>-</v>
      </c>
      <c r="B56" s="1119"/>
      <c r="C56" s="1102"/>
      <c r="D56" s="1120"/>
      <c r="E56" s="1102">
        <f>IF(AND(B6="ламель150", B7="25мм"), 0, IF(D$15=$A56, 1, 0))</f>
        <v>0</v>
      </c>
      <c r="F56" s="1120"/>
      <c r="G56" s="1102"/>
      <c r="H56" s="1120"/>
      <c r="I56" s="1103"/>
    </row>
    <row r="57" spans="1:11" ht="16.5" customHeight="1" x14ac:dyDescent="0.2">
      <c r="A57" s="1100" t="str">
        <f>IF(F15="нет","-",F15)</f>
        <v>-</v>
      </c>
      <c r="B57" s="1119"/>
      <c r="C57" s="1102"/>
      <c r="D57" s="1120"/>
      <c r="E57" s="1102"/>
      <c r="F57" s="1120"/>
      <c r="G57" s="1102">
        <f>IF(AND(B6="ламель150", B7="25мм"), 0, IF(F$15=$A57, 1, 0))</f>
        <v>0</v>
      </c>
      <c r="H57" s="1120"/>
      <c r="I57" s="1103"/>
    </row>
    <row r="58" spans="1:11" ht="16.5" customHeight="1" x14ac:dyDescent="0.2">
      <c r="A58" s="1100" t="str">
        <f>IF(H15="нет","-",H15)</f>
        <v>-</v>
      </c>
      <c r="B58" s="1119"/>
      <c r="C58" s="1102"/>
      <c r="D58" s="1120"/>
      <c r="E58" s="1102"/>
      <c r="F58" s="1120"/>
      <c r="G58" s="1102"/>
      <c r="H58" s="1120"/>
      <c r="I58" s="1103">
        <f>IF(AND(B6="ламель150", B7="25мм"), 0, IF(H$15=$A58, 1, 0))</f>
        <v>0</v>
      </c>
      <c r="K58" s="1087"/>
    </row>
    <row r="59" spans="1:11" ht="16.5" customHeight="1" x14ac:dyDescent="0.2">
      <c r="A59" s="1095" t="s">
        <v>987</v>
      </c>
      <c r="B59" s="1114"/>
      <c r="C59" s="1115"/>
      <c r="D59" s="1121"/>
      <c r="E59" s="1122"/>
      <c r="F59" s="1118"/>
      <c r="G59" s="1115"/>
      <c r="H59" s="1118"/>
      <c r="I59" s="1114"/>
      <c r="K59" s="1128"/>
    </row>
    <row r="60" spans="1:11" ht="16.5" customHeight="1" x14ac:dyDescent="0.2">
      <c r="A60" s="1100" t="s">
        <v>1035</v>
      </c>
      <c r="B60" s="1101">
        <f>IF(C50=0,0,IF($B$6="ламель125",VLOOKUP(B$14,Данные1!$A$125:$V$129,2,FALSE),0))</f>
        <v>0</v>
      </c>
      <c r="C60" s="1123">
        <f>IF(C50=0,0,IF($B$6="ламель125",VLOOKUP(B$14,Данные1!$A$125:$V$129,3,FALSE),0))</f>
        <v>0</v>
      </c>
      <c r="D60" s="1101">
        <f>IF(E51=0,0,IF($B$6="ламель125",VLOOKUP(D$14,Данные1!$A$125:$V$129,2,FALSE),0))</f>
        <v>0</v>
      </c>
      <c r="E60" s="1123">
        <f>IF(E51=0,0,IF($B$6="ламель125",VLOOKUP(D$14,Данные1!$A$125:$V$129,3,FALSE),0))</f>
        <v>0</v>
      </c>
      <c r="F60" s="1101">
        <f>IF(G52=0,0,IF($B$6="ламель125",VLOOKUP(F$14,Данные1!$A$125:$V$129,2,FALSE),0))</f>
        <v>0</v>
      </c>
      <c r="G60" s="1123">
        <f>IF(G52=0,0,IF($B$6="ламель125",VLOOKUP(F$14,Данные1!$A$125:$V$129,3,FALSE),0))</f>
        <v>0</v>
      </c>
      <c r="H60" s="1101">
        <f>IF(I53=0,0,IF($B$6="ламель125",VLOOKUP(H$14,Данные1!$A$125:$V$129,2,FALSE),0))</f>
        <v>0</v>
      </c>
      <c r="I60" s="1103">
        <f>IF(I53=0,0,IF($B$6="ламель125",VLOOKUP(H$14,Данные1!$A$125:$V$129,3,FALSE),0))</f>
        <v>0</v>
      </c>
      <c r="K60" s="1128"/>
    </row>
    <row r="61" spans="1:11" ht="16.5" customHeight="1" x14ac:dyDescent="0.2">
      <c r="A61" s="1100" t="s">
        <v>1036</v>
      </c>
      <c r="B61" s="1101">
        <f t="shared" ref="B61:I61" si="6">B60</f>
        <v>0</v>
      </c>
      <c r="C61" s="1123">
        <f t="shared" si="6"/>
        <v>0</v>
      </c>
      <c r="D61" s="1101">
        <f t="shared" si="6"/>
        <v>0</v>
      </c>
      <c r="E61" s="1123">
        <f t="shared" si="6"/>
        <v>0</v>
      </c>
      <c r="F61" s="1101">
        <f t="shared" si="6"/>
        <v>0</v>
      </c>
      <c r="G61" s="1123">
        <f t="shared" si="6"/>
        <v>0</v>
      </c>
      <c r="H61" s="1101">
        <f t="shared" si="6"/>
        <v>0</v>
      </c>
      <c r="I61" s="1103">
        <f t="shared" si="6"/>
        <v>0</v>
      </c>
      <c r="K61" s="1128"/>
    </row>
    <row r="62" spans="1:11" ht="16.5" customHeight="1" x14ac:dyDescent="0.2">
      <c r="A62" s="1100" t="s">
        <v>1049</v>
      </c>
      <c r="B62" s="1101">
        <f>IF(C50=0,0,IF($B$6="ламель125",VLOOKUP(B$14,Данные1!$A$125:$V$129,4,FALSE),0))</f>
        <v>0</v>
      </c>
      <c r="C62" s="1123">
        <f>IF(C50=0,0,IF($B$6="ламель125",VLOOKUP(B$14,Данные1!$A$125:$V$129,5,FALSE),0))</f>
        <v>0</v>
      </c>
      <c r="D62" s="1101">
        <f>IF(E51=0,0,IF($B$6="ламель125",VLOOKUP(D$14,Данные1!$A$125:$V$129,4,FALSE),0))</f>
        <v>0</v>
      </c>
      <c r="E62" s="1123">
        <f>IF(E51=0,0,IF($B$6="ламель125",VLOOKUP(D$14,Данные1!$A$125:$V$129,5,FALSE),0))</f>
        <v>0</v>
      </c>
      <c r="F62" s="1101">
        <f>IF(G52=0,0,IF($B$6="ламель125",VLOOKUP(F$14,Данные1!$A$125:$V$129,4,FALSE),0))</f>
        <v>0</v>
      </c>
      <c r="G62" s="1123">
        <f>IF(G52=0,0,IF($B$6="ламель125",VLOOKUP(F$14,Данные1!$A$125:$V$129,5,FALSE),0))</f>
        <v>0</v>
      </c>
      <c r="H62" s="1101">
        <f>IF(I53=0,0,IF($B$6="ламель125",VLOOKUP(H$14,Данные1!$A$125:$V$129,4,FALSE),0))</f>
        <v>0</v>
      </c>
      <c r="I62" s="1103">
        <f>IF(I53=0,0,IF($B$6="ламель125",VLOOKUP(H$14,Данные1!$A$125:$V$129,5,FALSE),0))</f>
        <v>0</v>
      </c>
      <c r="K62" s="1128"/>
    </row>
    <row r="63" spans="1:11" ht="16.5" customHeight="1" x14ac:dyDescent="0.2">
      <c r="A63" s="1100" t="s">
        <v>1050</v>
      </c>
      <c r="B63" s="1101">
        <f t="shared" ref="B63" si="7">B62</f>
        <v>0</v>
      </c>
      <c r="C63" s="1123">
        <f>C62</f>
        <v>0</v>
      </c>
      <c r="D63" s="1101">
        <f>D62</f>
        <v>0</v>
      </c>
      <c r="E63" s="1123">
        <f>E62</f>
        <v>0</v>
      </c>
      <c r="F63" s="1101">
        <f t="shared" ref="F63" si="8">F62</f>
        <v>0</v>
      </c>
      <c r="G63" s="1123">
        <f>G62</f>
        <v>0</v>
      </c>
      <c r="H63" s="1101">
        <f t="shared" ref="H63" si="9">H62</f>
        <v>0</v>
      </c>
      <c r="I63" s="1103">
        <f>I62</f>
        <v>0</v>
      </c>
      <c r="K63" s="1128"/>
    </row>
    <row r="64" spans="1:11" ht="16.5" customHeight="1" x14ac:dyDescent="0.2">
      <c r="A64" s="1100" t="s">
        <v>1037</v>
      </c>
      <c r="B64" s="1101">
        <f>IF(C50=0,0,IF($B$6="ламель150",VLOOKUP(B$14,Данные1!$A$125:$V$129,6,FALSE),0))</f>
        <v>0</v>
      </c>
      <c r="C64" s="1123">
        <f>IF(C50=0,0,IF($B$6="ламель150",VLOOKUP(B$14,Данные1!$A$125:$V$129,7,FALSE),0))</f>
        <v>0</v>
      </c>
      <c r="D64" s="1101">
        <f>IF(E51=0,0,IF($B$6="ламель150",VLOOKUP(D$14,Данные1!$A$125:$V$129,6,FALSE),0))</f>
        <v>0</v>
      </c>
      <c r="E64" s="1123">
        <f>IF(E51=0,0,IF($B$6="ламель150",VLOOKUP(D$14,Данные1!$A$125:$V$129,7,FALSE),0))</f>
        <v>0</v>
      </c>
      <c r="F64" s="1101">
        <f>IF(G52=0,0,IF($B$6="ламель150",VLOOKUP(F$14,Данные1!$A$125:$V$129,6,FALSE),0))</f>
        <v>0</v>
      </c>
      <c r="G64" s="1123">
        <f>IF(G52=0,0,IF($B$6="ламель150",VLOOKUP(F$14,Данные1!$A$125:$V$129,7,FALSE),0))</f>
        <v>0</v>
      </c>
      <c r="H64" s="1101">
        <f>IF(I53=0,0,IF($B$6="ламель150",VLOOKUP(H$14,Данные1!$A$125:$V$129,6,FALSE),0))</f>
        <v>0</v>
      </c>
      <c r="I64" s="1103">
        <f>IF(I53=0,0,IF($B$6="ламель150",VLOOKUP(H$14,Данные1!$A$125:$V$129,7,FALSE),0))</f>
        <v>0</v>
      </c>
      <c r="K64" s="1128"/>
    </row>
    <row r="65" spans="1:11" ht="16.5" customHeight="1" x14ac:dyDescent="0.2">
      <c r="A65" s="1100" t="s">
        <v>1038</v>
      </c>
      <c r="B65" s="1101">
        <f t="shared" ref="B65:C65" si="10">B64</f>
        <v>0</v>
      </c>
      <c r="C65" s="1123">
        <f t="shared" si="10"/>
        <v>0</v>
      </c>
      <c r="D65" s="1101">
        <f>D64</f>
        <v>0</v>
      </c>
      <c r="E65" s="1123">
        <f>E64</f>
        <v>0</v>
      </c>
      <c r="F65" s="1101">
        <f t="shared" ref="F65:I65" si="11">F64</f>
        <v>0</v>
      </c>
      <c r="G65" s="1123">
        <f>G64</f>
        <v>0</v>
      </c>
      <c r="H65" s="1101">
        <f t="shared" si="11"/>
        <v>0</v>
      </c>
      <c r="I65" s="1103">
        <f t="shared" si="11"/>
        <v>0</v>
      </c>
      <c r="K65" s="1128"/>
    </row>
    <row r="66" spans="1:11" ht="16.5" customHeight="1" x14ac:dyDescent="0.2">
      <c r="A66" s="1100" t="s">
        <v>1051</v>
      </c>
      <c r="B66" s="1101">
        <f>IF(C50=0,0,IF($B$6="ламель150",VLOOKUP(B$14,Данные1!$A$125:$V$129,8,FALSE),0))</f>
        <v>0</v>
      </c>
      <c r="C66" s="1123">
        <f>IF(C50=0,0,IF($B$6="ламель150",VLOOKUP(B$14,Данные1!$A$125:$V$129,9,FALSE),0))</f>
        <v>0</v>
      </c>
      <c r="D66" s="1101">
        <f>IF(E51=0,0,IF($B$6="ламель150",VLOOKUP(D$14,Данные1!$A$125:$V$129,8,FALSE),0))</f>
        <v>0</v>
      </c>
      <c r="E66" s="1123">
        <f>IF(E51=0,0,IF($B$6="ламель150",VLOOKUP(D$14,Данные1!$A$125:$V$129,9,FALSE),0))</f>
        <v>0</v>
      </c>
      <c r="F66" s="1101">
        <f>IF(G52=0,0,IF($B$6="ламель150",VLOOKUP(F$14,Данные1!$A$125:$V$129,8,FALSE),0))</f>
        <v>0</v>
      </c>
      <c r="G66" s="1123">
        <f>IF(G52=0,0,IF($B$6="ламель150",VLOOKUP(F$14,Данные1!$A$125:$V$129,9,FALSE),0))</f>
        <v>0</v>
      </c>
      <c r="H66" s="1101">
        <f>IF(I53=0,0,IF($B$6="ламель150",VLOOKUP(H$14,Данные1!$A$125:$V$129,8,FALSE),0))</f>
        <v>0</v>
      </c>
      <c r="I66" s="1103">
        <f>IF(I53=0,0,IF($B$6="ламель150",VLOOKUP(H$14,Данные1!$A$125:$V$129,9,FALSE),0))</f>
        <v>0</v>
      </c>
      <c r="K66" s="1128"/>
    </row>
    <row r="67" spans="1:11" ht="16.5" customHeight="1" x14ac:dyDescent="0.2">
      <c r="A67" s="1100" t="s">
        <v>1052</v>
      </c>
      <c r="B67" s="1101">
        <f t="shared" ref="B67:H67" si="12">B66</f>
        <v>0</v>
      </c>
      <c r="C67" s="1123">
        <f t="shared" si="12"/>
        <v>0</v>
      </c>
      <c r="D67" s="1101">
        <f t="shared" si="12"/>
        <v>0</v>
      </c>
      <c r="E67" s="1123">
        <f t="shared" si="12"/>
        <v>0</v>
      </c>
      <c r="F67" s="1101">
        <f t="shared" si="12"/>
        <v>0</v>
      </c>
      <c r="G67" s="1123">
        <f t="shared" si="12"/>
        <v>0</v>
      </c>
      <c r="H67" s="1101">
        <f t="shared" si="12"/>
        <v>0</v>
      </c>
      <c r="I67" s="1103">
        <f>I66</f>
        <v>0</v>
      </c>
      <c r="K67" s="1128"/>
    </row>
    <row r="68" spans="1:11" ht="16.5" customHeight="1" x14ac:dyDescent="0.2">
      <c r="A68" s="1100" t="s">
        <v>1042</v>
      </c>
      <c r="B68" s="1101">
        <f>IF(C50=0,0,IF(AND(IF($B$6="ламель125",VLOOKUP(B$14,Данные1!$A$125:$V$129,12,FALSE),0)&gt;=0.5, IF($B$6="ламель125",VLOOKUP(B$14,Данные1!$A$125:$V$129,12,FALSE),0)&lt;=2), 2, IF(AND(IF($B$6="ламель125",VLOOKUP(B$14,Данные1!$A$125:$V$129,12,FALSE),0)&gt;2, IF($B$6="ламель125",VLOOKUP(B$14,Данные1!$A$125:$V$129,12,FALSE),0)&lt;=2.5), 2.5, IF(AND(IF($B$6="ламель125",VLOOKUP(B$14,Данные1!$A$125:$V$129,12,FALSE),0)&gt;2.5, IF($B$6="ламель125",VLOOKUP(B$14,Данные1!$A$125:$V$129,12,FALSE),0)&lt;=3), 3,0))))</f>
        <v>0</v>
      </c>
      <c r="C68" s="1123">
        <f>IF(C50=0,0,IF(AND($B$6="ламель125",NOT(B$14="нет")),1,0))</f>
        <v>0</v>
      </c>
      <c r="D68" s="1101">
        <f>IF(E51=0,0,IF(AND(IF($B$6="ламель125",VLOOKUP(D$14,Данные1!$A$125:$V$129,12,FALSE),0)&gt;=0.5, IF($B$6="ламель125",VLOOKUP(D$14,Данные1!$A$125:$V$129,12,FALSE),0)&lt;=2), 2, IF(AND(IF($B$6="ламель125",VLOOKUP(D$14,Данные1!$A$125:$V$129,12,FALSE),0)&gt;2, IF($B$6="ламель125",VLOOKUP(D$14,Данные1!$A$125:$V$129,12,FALSE),0)&lt;=2.5), 2.5, IF(AND(IF($B$6="ламель125",VLOOKUP(D$14,Данные1!$A$125:$V$129,12,FALSE),0)&gt;2.5, IF($B$6="ламель125",VLOOKUP(D$14,Данные1!$A$125:$V$129,12,FALSE),0)&lt;=3), 3,0))))</f>
        <v>0</v>
      </c>
      <c r="E68" s="1123">
        <f>IF(E51=0,0,IF(AND($B$6="ламель125",NOT(D$14="нет")),1,0))</f>
        <v>0</v>
      </c>
      <c r="F68" s="1101">
        <f>IF(G52=0,0,IF(AND(IF($B$6="ламель125",VLOOKUP(F$14,Данные1!$A$125:$V$129,12,FALSE),0)&gt;=0.5, IF($B$6="ламель125",VLOOKUP(F$14,Данные1!$A$125:$V$129,12,FALSE),0)&lt;=2), 2, IF(AND(IF($B$6="ламель125",VLOOKUP(F$14,Данные1!$A$125:$V$129,12,FALSE),0)&gt;2, IF($B$6="ламель125",VLOOKUP(F$14,Данные1!$A$125:$V$129,12,FALSE),0)&lt;=2.5), 2.5, IF(AND(IF($B$6="ламель125",VLOOKUP(F$14,Данные1!$A$125:$V$129,12,FALSE),0)&gt;2.5, IF($B$6="ламель125",VLOOKUP(F$14,Данные1!$A$125:$V$129,12,FALSE),0)&lt;=3), 3,0))))</f>
        <v>0</v>
      </c>
      <c r="G68" s="1123">
        <f>IF(G52=0,0,IF(AND($B$6="ламель125",NOT(F$14="нет")),1,0))</f>
        <v>0</v>
      </c>
      <c r="H68" s="1101">
        <f>IF(I53=0,0,IF(AND(IF($B$6="ламель125",VLOOKUP(H$14,Данные1!$A$125:$V$129,12,FALSE),0)&gt;=0.5, IF($B$6="ламель125",VLOOKUP(H$14,Данные1!$A$125:$V$129,12,FALSE),0)&lt;=2), 2, IF(AND(IF($B$6="ламель125",VLOOKUP(H$14,Данные1!$A$125:$V$129,12,FALSE),0)&gt;2, IF($B$6="ламель125",VLOOKUP(H$14,Данные1!$A$125:$V$129,12,FALSE),0)&lt;=2.5), 2.5, IF(AND(IF($B$6="ламель125",VLOOKUP(H$14,Данные1!$A$125:$V$129,12,FALSE),0)&gt;2.5, IF($B$6="ламель125",VLOOKUP(H$14,Данные1!$A$125:$V$129,12,FALSE),0)&lt;=3), 3,0))))</f>
        <v>0</v>
      </c>
      <c r="I68" s="1103">
        <f>IF(I53=0,0,IF(AND($B$6="ламель125",NOT(H$14="нет")),1,0))</f>
        <v>0</v>
      </c>
      <c r="K68" s="1128"/>
    </row>
    <row r="69" spans="1:11" ht="16.5" customHeight="1" x14ac:dyDescent="0.2">
      <c r="A69" s="1100" t="s">
        <v>1043</v>
      </c>
      <c r="B69" s="1101">
        <f>IF(C50=0,0,IF(AND(IF($B$6="ламель150",VLOOKUP(B$14,Данные1!$A$125:$V$129,13,FALSE),0)&gt;=0.5, IF($B$6="ламель150",VLOOKUP(B$14,Данные1!$A$125:$V$129,13,FALSE),0)&lt;=2), 2, IF(AND(IF($B$6="ламель150",VLOOKUP(B$14,Данные1!$A$125:$V$129,13,FALSE),0)&gt;2, IF($B$6="ламель150",VLOOKUP(B$14,Данные1!$A$125:$V$129,13,FALSE),0)&lt;=2.5), 2.5, IF(AND(IF($B$6="ламель150",VLOOKUP(B$14,Данные1!$A$125:$V$129,13,FALSE),0)&gt;2.5, IF($B$6="ламель150",VLOOKUP(B$14,Данные1!$A$125:$V$129,13,FALSE),0)&lt;=3), 3,0))))</f>
        <v>0</v>
      </c>
      <c r="C69" s="1123">
        <f>IF(C50=0,0,IF(AND($B$6="ламель150",NOT(B$14="нет")),1,0))</f>
        <v>0</v>
      </c>
      <c r="D69" s="1101">
        <f>IF(E51=0,0,IF(AND(IF($B$6="ламель150",VLOOKUP(D$14,Данные1!$A$125:$V$129,13,FALSE),0)&gt;=0.5, IF($B$6="ламель150",VLOOKUP(D$14,Данные1!$A$125:$V$129,13,FALSE),0)&lt;=2), 2, IF(AND(IF($B$6="ламель150",VLOOKUP(D$14,Данные1!$A$125:$V$129,13,FALSE),0)&gt;2, IF($B$6="ламель150",VLOOKUP(D$14,Данные1!$A$125:$V$129,13,FALSE),0)&lt;=2.5), 2.5, IF(AND(IF($B$6="ламель150",VLOOKUP(D$14,Данные1!$A$125:$V$129,13,FALSE),0)&gt;2.5, IF($B$6="ламель150",VLOOKUP(D$14,Данные1!$A$125:$V$129,13,FALSE),0)&lt;=3), 3,0))))</f>
        <v>0</v>
      </c>
      <c r="E69" s="1123">
        <f>IF(E51=0,0,IF(AND($B$6="ламель150",NOT(D$14="нет")),1,0))</f>
        <v>0</v>
      </c>
      <c r="F69" s="1101">
        <f>IF(G52=0,0,IF(AND(IF($B$6="ламель150",VLOOKUP(F$14,Данные1!$A$125:$V$129,13,FALSE),0)&gt;=0.5, IF($B$6="ламель150",VLOOKUP(F$14,Данные1!$A$125:$V$129,13,FALSE),0)&lt;=2), 2, IF(AND(IF($B$6="ламель150",VLOOKUP(F$14,Данные1!$A$125:$V$129,13,FALSE),0)&gt;2, IF($B$6="ламель150",VLOOKUP(F$14,Данные1!$A$125:$V$129,13,FALSE),0)&lt;=2.5), 2.5, IF(AND(IF($B$6="ламель150",VLOOKUP(F$14,Данные1!$A$125:$V$129,13,FALSE),0)&gt;2.5, IF($B$6="ламель150",VLOOKUP(F$14,Данные1!$A$125:$V$129,13,FALSE),0)&lt;=3), 3,0))))</f>
        <v>0</v>
      </c>
      <c r="G69" s="1123">
        <f>IF(G52=0,0,IF(AND($B$6="ламель150",NOT(F$14="нет")),1,0))</f>
        <v>0</v>
      </c>
      <c r="H69" s="1101">
        <f>IF(I53=0,0,IF(AND(IF($B$6="ламель150",VLOOKUP(H$14,Данные1!$A$125:$V$129,13,FALSE),0)&gt;=0.5, IF($B$6="ламель150",VLOOKUP(H$14,Данные1!$A$125:$V$129,13,FALSE),0)&lt;=2), 2, IF(AND(IF($B$6="ламель150",VLOOKUP(H$14,Данные1!$A$125:$V$129,13,FALSE),0)&gt;2, IF($B$6="ламель150",VLOOKUP(H$14,Данные1!$A$125:$V$129,13,FALSE),0)&lt;=2.5), 2.5, IF(AND(IF($B$6="ламель150",VLOOKUP(H$14,Данные1!$A$125:$V$129,13,FALSE),0)&gt;2.5, IF($B$6="ламель150",VLOOKUP(H$14,Данные1!$A$125:$V$129,13,FALSE),0)&lt;=3), 3,0))))</f>
        <v>0</v>
      </c>
      <c r="I69" s="1103">
        <f>IF(I53=0,0,IF(AND($B$6="ламель150",NOT(H$14="нет")),1,0))</f>
        <v>0</v>
      </c>
      <c r="K69" s="1128"/>
    </row>
    <row r="70" spans="1:11" ht="16.5" customHeight="1" x14ac:dyDescent="0.2">
      <c r="A70" s="1100" t="s">
        <v>1053</v>
      </c>
      <c r="B70" s="1101">
        <f>IF(C50=0,0,IF(AND(IF($B$6="ламель125",VLOOKUP(B$14,Данные1!$A$125:$V$129,10,FALSE),VLOOKUP(B$14,Данные1!$A$125:$V$129,11,FALSE))&gt;=0.1, IF($B$6="ламель125",VLOOKUP(B$14,Данные1!$A$125:$V$129,10,FALSE),VLOOKUP(B$14,Данные1!$A$125:$V$129,11,FALSE))&lt;=1.8), 1.8, IF(AND(IF($B$6="ламель125",VLOOKUP(B$14,Данные1!$A$125:$V$129,10,FALSE),VLOOKUP(B$14,Данные1!$A$125:$V$129,11,FALSE))&gt;1.8, IF($B$6="ламель125",VLOOKUP(B$14,Данные1!$A$125:$V$129,10,FALSE),VLOOKUP(B$14,Данные1!$A$125:$V$129,11,FALSE))&lt;=2), 2, IF(AND(IF($B$6="ламель125",VLOOKUP(B$14,Данные1!$A$125:$V$129,10,FALSE),VLOOKUP(B$14,Данные1!$A$125:$V$129,11,FALSE))&gt;2, IF($B$6="ламель125",VLOOKUP(B$14,Данные1!$A$125:$V$129,10,FALSE),VLOOKUP(B$14,Данные1!$A$125:$V$129,11,FALSE))&lt;=2.5), 2.5, IF(AND(IF($B$6="ламель125",VLOOKUP(B$14,Данные1!$A$125:$V$129,10,FALSE),VLOOKUP(B$14,Данные1!$A$125:$V$129,11,FALSE))&gt;2.5, IF($B$6="ламель125",VLOOKUP(B$14,Данные1!$A$125:$V$129,10,FALSE),VLOOKUP(B$14,Данные1!$A$125:$V$129,11,FALSE))&lt;=3), 3, 0)))))</f>
        <v>0</v>
      </c>
      <c r="C70" s="1123">
        <f>IF(C50=0,0,IF(NOT(B$14="нет"),2,0))</f>
        <v>0</v>
      </c>
      <c r="D70" s="1101">
        <f>IF(E51=0,0,IF(AND(IF($B$6="ламель125",VLOOKUP(D$14,Данные1!$A$125:$V$129,10,FALSE),VLOOKUP(D$14,Данные1!$A$125:$V$129,11,FALSE))&gt;=0.1, IF($B$6="ламель125",VLOOKUP(D$14,Данные1!$A$125:$V$129,10,FALSE),VLOOKUP(D$14,Данные1!$A$125:$V$129,11,FALSE))&lt;=1.8), 1.8, IF(AND(IF($B$6="ламель125",VLOOKUP(D$14,Данные1!$A$125:$V$129,10,FALSE),VLOOKUP(D$14,Данные1!$A$125:$V$129,11,FALSE))&gt;1.8, IF($B$6="ламель125",VLOOKUP(D$14,Данные1!$A$125:$V$129,10,FALSE),VLOOKUP(D$14,Данные1!$A$125:$V$129,11,FALSE))&lt;=2), 2, IF(AND(IF($B$6="ламель125",VLOOKUP(D$14,Данные1!$A$125:$V$129,10,FALSE),VLOOKUP(D$14,Данные1!$A$125:$V$129,11,FALSE))&gt;2, IF($B$6="ламель125",VLOOKUP(D$14,Данные1!$A$125:$V$129,10,FALSE),VLOOKUP(D$14,Данные1!$A$125:$V$129,11,FALSE))&lt;=2.5), 2.5, IF(AND(IF($B$6="ламель125",VLOOKUP(D$14,Данные1!$A$125:$V$129,10,FALSE),VLOOKUP(D$14,Данные1!$A$125:$V$129,11,FALSE))&gt;2.5, IF($B$6="ламель125",VLOOKUP(D$14,Данные1!$A$125:$V$129,10,FALSE),VLOOKUP(D$14,Данные1!$A$125:$V$129,11,FALSE))&lt;=3), 3, 0)))))</f>
        <v>0</v>
      </c>
      <c r="E70" s="1123">
        <f>IF(E51=0,0,IF(NOT(D$14="нет"),2,0))</f>
        <v>0</v>
      </c>
      <c r="F70" s="1101">
        <f>IF(G52=0,0,IF(AND(IF($B$6="ламель125",VLOOKUP(F$14,Данные1!$A$125:$V$129,10,FALSE),VLOOKUP(F$14,Данные1!$A$125:$V$129,11,FALSE))&gt;=0.1, IF($B$6="ламель125",VLOOKUP(F$14,Данные1!$A$125:$V$129,10,FALSE),VLOOKUP(F$14,Данные1!$A$125:$V$129,11,FALSE))&lt;=1.8), 1.8, IF(AND(IF($B$6="ламель125",VLOOKUP(F$14,Данные1!$A$125:$V$129,10,FALSE),VLOOKUP(F$14,Данные1!$A$125:$V$129,11,FALSE))&gt;1.8, IF($B$6="ламель125",VLOOKUP(F$14,Данные1!$A$125:$V$129,10,FALSE),VLOOKUP(F$14,Данные1!$A$125:$V$129,11,FALSE))&lt;=2), 2, IF(AND(IF($B$6="ламель125",VLOOKUP(F$14,Данные1!$A$125:$V$129,10,FALSE),VLOOKUP(F$14,Данные1!$A$125:$V$129,11,FALSE))&gt;2, IF($B$6="ламель125",VLOOKUP(F$14,Данные1!$A$125:$V$129,10,FALSE),VLOOKUP(F$14,Данные1!$A$125:$V$129,11,FALSE))&lt;=2.5), 2.5, IF(AND(IF($B$6="ламель125",VLOOKUP(F$14,Данные1!$A$125:$V$129,10,FALSE),VLOOKUP(F$14,Данные1!$A$125:$V$129,11,FALSE))&gt;2.5, IF($B$6="ламель125",VLOOKUP(F$14,Данные1!$A$125:$V$129,10,FALSE),VLOOKUP(F$14,Данные1!$A$125:$V$129,11,FALSE))&lt;=3), 3, 0)))))</f>
        <v>0</v>
      </c>
      <c r="G70" s="1123">
        <f>IF(G52=0,0,IF(NOT(F$14="нет"),2,0))</f>
        <v>0</v>
      </c>
      <c r="H70" s="1101">
        <f>IF(I53=0,0,IF(AND(IF($B$6="ламель125",VLOOKUP(H$14,Данные1!$A$125:$V$129,10,FALSE),VLOOKUP(H$14,Данные1!$A$125:$V$129,11,FALSE))&gt;=0.1, IF($B$6="ламель125",VLOOKUP(H$14,Данные1!$A$125:$V$129,10,FALSE),VLOOKUP(H$14,Данные1!$A$125:$V$129,11,FALSE))&lt;=1.8), 1.8, IF(AND(IF($B$6="ламель125",VLOOKUP(H$14,Данные1!$A$125:$V$129,10,FALSE),VLOOKUP(H$14,Данные1!$A$125:$V$129,11,FALSE))&gt;1.8, IF($B$6="ламель125",VLOOKUP(H$14,Данные1!$A$125:$V$129,10,FALSE),VLOOKUP(H$14,Данные1!$A$125:$V$129,11,FALSE))&lt;=2), 2, IF(AND(IF($B$6="ламель125",VLOOKUP(H$14,Данные1!$A$125:$V$129,10,FALSE),VLOOKUP(H$14,Данные1!$A$125:$V$129,11,FALSE))&gt;2, IF($B$6="ламель125",VLOOKUP(H$14,Данные1!$A$125:$V$129,10,FALSE),VLOOKUP(H$14,Данные1!$A$125:$V$129,11,FALSE))&lt;=2.5), 2.5, IF(AND(IF($B$6="ламель125",VLOOKUP(H$14,Данные1!$A$125:$V$129,10,FALSE),VLOOKUP(H$14,Данные1!$A$125:$V$129,11,FALSE))&gt;2.5, IF($B$6="ламель125",VLOOKUP(H$14,Данные1!$A$125:$V$129,10,FALSE),VLOOKUP(H$14,Данные1!$A$125:$V$129,11,FALSE))&lt;=3), 3, 0)))))</f>
        <v>0</v>
      </c>
      <c r="I70" s="1103">
        <f>IF(I53=0,0,IF(NOT(H$14="нет"),2,0))</f>
        <v>0</v>
      </c>
      <c r="K70" s="1128"/>
    </row>
    <row r="71" spans="1:11" ht="16.5" customHeight="1" x14ac:dyDescent="0.2">
      <c r="A71" s="1100" t="s">
        <v>1054</v>
      </c>
      <c r="B71" s="1101" t="s">
        <v>18</v>
      </c>
      <c r="C71" s="1123">
        <f>IF(C50=0,0,IF($B$6="ламель125",VLOOKUP(B$14,Данные1!$A$125:$V$129,17,FALSE),0))</f>
        <v>0</v>
      </c>
      <c r="D71" s="1101" t="s">
        <v>18</v>
      </c>
      <c r="E71" s="1123">
        <f>IF(E51=0,0,IF($B$6="ламель125",VLOOKUP(D$14,Данные1!$A$125:$V$129,17,FALSE),0))</f>
        <v>0</v>
      </c>
      <c r="F71" s="1101" t="s">
        <v>18</v>
      </c>
      <c r="G71" s="1123">
        <f>IF(G52=0,0,IF($B$6="ламель125",VLOOKUP(F$14,Данные1!$A$125:$V$129,17,FALSE),0))</f>
        <v>0</v>
      </c>
      <c r="H71" s="1101" t="s">
        <v>18</v>
      </c>
      <c r="I71" s="1103">
        <f>IF(I53=0,0,IF($B$6="ламель125",VLOOKUP(H$14,Данные1!$A$125:$V$129,17,FALSE),0))</f>
        <v>0</v>
      </c>
      <c r="K71" s="1128"/>
    </row>
    <row r="72" spans="1:11" ht="16.5" customHeight="1" x14ac:dyDescent="0.2">
      <c r="A72" s="1100" t="s">
        <v>1055</v>
      </c>
      <c r="B72" s="1101" t="s">
        <v>18</v>
      </c>
      <c r="C72" s="1123">
        <f>IF(C50=0,0,IF($B$6="ламель125",VLOOKUP(B$14,Данные1!$A$125:$V$129,18,FALSE),0))</f>
        <v>0</v>
      </c>
      <c r="D72" s="1101" t="s">
        <v>18</v>
      </c>
      <c r="E72" s="1123">
        <f>IF(E51=0,0,IF($B$6="ламель125",VLOOKUP(D$14,Данные1!$A$125:$V$129,18,FALSE),0))</f>
        <v>0</v>
      </c>
      <c r="F72" s="1101" t="s">
        <v>18</v>
      </c>
      <c r="G72" s="1123">
        <f>IF(G52=0,0,IF($B$6="ламель125",VLOOKUP(F$14,Данные1!$A$125:$V$129,18,FALSE),0))</f>
        <v>0</v>
      </c>
      <c r="H72" s="1101" t="s">
        <v>18</v>
      </c>
      <c r="I72" s="1103">
        <f>IF(I53=0,0,IF($B$6="ламель125",VLOOKUP(H$14,Данные1!$A$125:$V$129,18,FALSE),0))</f>
        <v>0</v>
      </c>
      <c r="K72" s="1128"/>
    </row>
    <row r="73" spans="1:11" ht="16.5" customHeight="1" x14ac:dyDescent="0.2">
      <c r="A73" s="1100" t="s">
        <v>1056</v>
      </c>
      <c r="B73" s="1101" t="s">
        <v>18</v>
      </c>
      <c r="C73" s="1123">
        <f>IF(C50=0,0,IF($B$6="ламель125",VLOOKUP(B$14,Данные1!$A$125:$V$129,19,FALSE),0))</f>
        <v>0</v>
      </c>
      <c r="D73" s="1101" t="s">
        <v>18</v>
      </c>
      <c r="E73" s="1123">
        <f>IF(E51=0,0,IF($B$6="ламель125",VLOOKUP(D$14,Данные1!$A$125:$V$129,19,FALSE),0))</f>
        <v>0</v>
      </c>
      <c r="F73" s="1101" t="s">
        <v>18</v>
      </c>
      <c r="G73" s="1123">
        <f>IF(G52=0,0,IF($B$6="ламель125",VLOOKUP(F$14,Данные1!$A$125:$V$129,19,FALSE),0))</f>
        <v>0</v>
      </c>
      <c r="H73" s="1101" t="s">
        <v>18</v>
      </c>
      <c r="I73" s="1103">
        <f>IF(I53=0,0,IF($B$6="ламель125",VLOOKUP(H$14,Данные1!$A$125:$V$129,19,FALSE),0))</f>
        <v>0</v>
      </c>
      <c r="K73" s="1128"/>
    </row>
    <row r="74" spans="1:11" ht="16.5" customHeight="1" x14ac:dyDescent="0.2">
      <c r="A74" s="1100" t="s">
        <v>1057</v>
      </c>
      <c r="B74" s="1101" t="s">
        <v>18</v>
      </c>
      <c r="C74" s="1123">
        <f>IF(C50=0,0,IF($B$6="ламель150",VLOOKUP(B$14,Данные1!$A$125:$V$129,20,FALSE),0))</f>
        <v>0</v>
      </c>
      <c r="D74" s="1101" t="s">
        <v>18</v>
      </c>
      <c r="E74" s="1123">
        <f>IF(E51=0,0,IF($B$6="ламель150",VLOOKUP(D$14,Данные1!$A$125:$V$129,20,FALSE),0))</f>
        <v>0</v>
      </c>
      <c r="F74" s="1101" t="s">
        <v>18</v>
      </c>
      <c r="G74" s="1123">
        <f>IF(G52=0,0,IF($B$6="ламель150",VLOOKUP(F$14,Данные1!$A$125:$V$129,20,FALSE),0))</f>
        <v>0</v>
      </c>
      <c r="H74" s="1101" t="s">
        <v>18</v>
      </c>
      <c r="I74" s="1103">
        <f>IF(I53=0,0,IF($B$6="ламель150",VLOOKUP(H$14,Данные1!$A$125:$V$129,20,FALSE),0))</f>
        <v>0</v>
      </c>
      <c r="K74" s="1128"/>
    </row>
    <row r="75" spans="1:11" ht="16.5" customHeight="1" x14ac:dyDescent="0.2">
      <c r="A75" s="1100" t="s">
        <v>1058</v>
      </c>
      <c r="B75" s="1101" t="s">
        <v>18</v>
      </c>
      <c r="C75" s="1123">
        <f>IF(C50=0,0,IF($B$6="ламель150",VLOOKUP(B$14,Данные1!$A$125:$V$129,21,FALSE),0))</f>
        <v>0</v>
      </c>
      <c r="D75" s="1101" t="s">
        <v>18</v>
      </c>
      <c r="E75" s="1123">
        <f>IF(E51=0,0,IF($B$6="ламель150",VLOOKUP(D$14,Данные1!$A$125:$V$129,21,FALSE),0))</f>
        <v>0</v>
      </c>
      <c r="F75" s="1101" t="s">
        <v>18</v>
      </c>
      <c r="G75" s="1123">
        <f>IF(G52=0,0,IF($B$6="ламель150",VLOOKUP(F$14,Данные1!$A$125:$V$129,21,FALSE),0))</f>
        <v>0</v>
      </c>
      <c r="H75" s="1101" t="s">
        <v>18</v>
      </c>
      <c r="I75" s="1103">
        <f>IF(I53=0,0,IF($B$6="ламель150",VLOOKUP(H$14,Данные1!$A$125:$V$129,21,FALSE),0))</f>
        <v>0</v>
      </c>
      <c r="K75" s="1128"/>
    </row>
    <row r="76" spans="1:11" ht="16.5" customHeight="1" x14ac:dyDescent="0.2">
      <c r="A76" s="1100" t="s">
        <v>1059</v>
      </c>
      <c r="B76" s="1101" t="s">
        <v>18</v>
      </c>
      <c r="C76" s="1123">
        <f>IF(C50=0,0,IF($B$6="ламель150",VLOOKUP(B$14,Данные1!$A$125:$V$129,22,FALSE),0))</f>
        <v>0</v>
      </c>
      <c r="D76" s="1101" t="s">
        <v>18</v>
      </c>
      <c r="E76" s="1123">
        <f>IF(E51=0,0,IF($B$6="ламель150",VLOOKUP(D$14,Данные1!$A$125:$V$129,22,FALSE),0))</f>
        <v>0</v>
      </c>
      <c r="F76" s="1101" t="s">
        <v>18</v>
      </c>
      <c r="G76" s="1123">
        <f>IF(G52=0,0,IF($B$6="ламель150",VLOOKUP(F$14,Данные1!$A$125:$V$129,22,FALSE),0))</f>
        <v>0</v>
      </c>
      <c r="H76" s="1101" t="s">
        <v>18</v>
      </c>
      <c r="I76" s="1103">
        <f>IF(I53=0,0,IF($B$6="ламель150",VLOOKUP(H$14,Данные1!$A$125:$V$129,22,FALSE),0))</f>
        <v>0</v>
      </c>
      <c r="K76" s="1128"/>
    </row>
    <row r="77" spans="1:11" ht="16.5" customHeight="1" x14ac:dyDescent="0.2">
      <c r="A77" s="1100" t="s">
        <v>1060</v>
      </c>
      <c r="B77" s="1107">
        <f>IF(C50=0,0,IF(C77=0,"-","4,0х10"))</f>
        <v>0</v>
      </c>
      <c r="C77" s="1123">
        <f>(C60++C62+C64+C66)*6</f>
        <v>0</v>
      </c>
      <c r="D77" s="1107">
        <f>IF(E51=0,0,IF(E77=0,"-","4,0х10"))</f>
        <v>0</v>
      </c>
      <c r="E77" s="1123">
        <f>(E60++E62+E64+E66)*6</f>
        <v>0</v>
      </c>
      <c r="F77" s="1107">
        <f>IF(G52=0,0,IF(G77=0,"-","4,0х10"))</f>
        <v>0</v>
      </c>
      <c r="G77" s="1123">
        <f>(G60++G62+G64+G66)*6</f>
        <v>0</v>
      </c>
      <c r="H77" s="1107">
        <f>IF(I53=0,0,IF(I77=0,"-","4,0х10"))</f>
        <v>0</v>
      </c>
      <c r="I77" s="1103">
        <f>(I60++I62+I64+I66)*6</f>
        <v>0</v>
      </c>
      <c r="K77" s="1128"/>
    </row>
    <row r="78" spans="1:11" ht="16.5" customHeight="1" x14ac:dyDescent="0.2">
      <c r="A78" s="1109" t="s">
        <v>1048</v>
      </c>
      <c r="B78" s="1107">
        <f>IF(C50=0,0,IF(C78=0,"-","4,2x19"))</f>
        <v>0</v>
      </c>
      <c r="C78" s="1123">
        <f>(C68+C69)*2+C70*4</f>
        <v>0</v>
      </c>
      <c r="D78" s="1107">
        <f>IF(E51=0,0,IF(E78=0,"-","4,2x16"))</f>
        <v>0</v>
      </c>
      <c r="E78" s="1123">
        <f>(E68+E69)*2+E70*4</f>
        <v>0</v>
      </c>
      <c r="F78" s="1107">
        <f>IF(G52=0,0,IF(G78=0,"-","4,2x16"))</f>
        <v>0</v>
      </c>
      <c r="G78" s="1123">
        <f>(G68+G69)*2+G70*4</f>
        <v>0</v>
      </c>
      <c r="H78" s="1107">
        <f>IF(I53=0,0,IF(I78=0,"-","4,2x16"))</f>
        <v>0</v>
      </c>
      <c r="I78" s="1103">
        <f>(I68+I69)*2+I70*4</f>
        <v>0</v>
      </c>
      <c r="K78" s="1128"/>
    </row>
    <row r="79" spans="1:11" ht="16.5" customHeight="1" x14ac:dyDescent="0.2">
      <c r="A79" s="1109" t="s">
        <v>1048</v>
      </c>
      <c r="B79" s="1107">
        <f>IF(C50=0,0,IF(C79=0,"-","4,2x16"))</f>
        <v>0</v>
      </c>
      <c r="C79" s="1123">
        <f>(C60+C62)*2+(C64+C66)*2</f>
        <v>0</v>
      </c>
      <c r="D79" s="1107">
        <f>IF(E50=0,0,IF(E79=0,"-","4,2x16"))</f>
        <v>0</v>
      </c>
      <c r="E79" s="1123">
        <f>(E60+E62)*2+(E64+E66)*2</f>
        <v>0</v>
      </c>
      <c r="F79" s="1107">
        <f>IF(G50=0,0,IF(G79=0,"-","4,2x16"))</f>
        <v>0</v>
      </c>
      <c r="G79" s="1123">
        <f>(G60+G62)*2+(G64+G66)*2</f>
        <v>0</v>
      </c>
      <c r="H79" s="1107">
        <f>IF(I50=0,0,IF(I79=0,"-","4,2x16"))</f>
        <v>0</v>
      </c>
      <c r="I79" s="1123">
        <f>(I60+I62)*2+(I64+I66)*2</f>
        <v>0</v>
      </c>
      <c r="K79" s="1128"/>
    </row>
    <row r="80" spans="1:11" ht="16.5" customHeight="1" x14ac:dyDescent="0.2">
      <c r="A80" s="1095" t="s">
        <v>992</v>
      </c>
      <c r="B80" s="1114"/>
      <c r="C80" s="1115"/>
      <c r="D80" s="1118"/>
      <c r="E80" s="1115"/>
      <c r="F80" s="1118"/>
      <c r="G80" s="1115"/>
      <c r="H80" s="1118"/>
      <c r="I80" s="1114"/>
      <c r="K80" s="1128"/>
    </row>
    <row r="81" spans="1:11" ht="16.5" customHeight="1" x14ac:dyDescent="0.2">
      <c r="A81" s="1100" t="s">
        <v>1035</v>
      </c>
      <c r="B81" s="1101">
        <f>IF(C55=0,0,IF($B$6="ламель125",VLOOKUP(B$15,Данные1!$A$134:$AL$151,2,FALSE),0))</f>
        <v>0</v>
      </c>
      <c r="C81" s="1123">
        <f>IF(C55=0,0,IF($B$6="ламель125",VLOOKUP(B$15,Данные1!$A$134:$AL$151,3,FALSE),0))</f>
        <v>0</v>
      </c>
      <c r="D81" s="1101">
        <f>IF(E56=0,0,IF($B$6="ламель125",VLOOKUP(D$15,Данные1!$A$134:$AL$151,2,FALSE),0))</f>
        <v>0</v>
      </c>
      <c r="E81" s="1123">
        <f>IF(E56=0,0,IF($B$6="ламель125",VLOOKUP(D$15,Данные1!$A$134:$AL$151,3,FALSE),0))</f>
        <v>0</v>
      </c>
      <c r="F81" s="1101">
        <f>IF(G57=0,0,IF($B$6="ламель125",VLOOKUP(F$15,Данные1!$A$134:$AL$151,2,FALSE),0))</f>
        <v>0</v>
      </c>
      <c r="G81" s="1123">
        <f>IF(G55=0,0,IF($B$6="ламель125",VLOOKUP(F$15,Данные1!$A$134:$AL$151,3,FALSE),0))</f>
        <v>0</v>
      </c>
      <c r="H81" s="1101">
        <f>IF(I58=0,0,IF($B$6="ламель125",VLOOKUP(H$15,Данные1!$A$134:$AL$151,2,FALSE),0))</f>
        <v>0</v>
      </c>
      <c r="I81" s="1103">
        <f>IF(I58=0,0,IF($B$6="ламель125",VLOOKUP(H$15,Данные1!$A$134:$AL$151,3,FALSE),0))</f>
        <v>0</v>
      </c>
      <c r="K81" s="1128"/>
    </row>
    <row r="82" spans="1:11" ht="16.5" customHeight="1" x14ac:dyDescent="0.2">
      <c r="A82" s="1100" t="s">
        <v>1036</v>
      </c>
      <c r="B82" s="1101">
        <f t="shared" ref="B82:B84" si="13">B81</f>
        <v>0</v>
      </c>
      <c r="C82" s="1123">
        <f>C81</f>
        <v>0</v>
      </c>
      <c r="D82" s="1101">
        <f>D81</f>
        <v>0</v>
      </c>
      <c r="E82" s="1123">
        <f>E81</f>
        <v>0</v>
      </c>
      <c r="F82" s="1101">
        <f t="shared" ref="F82" si="14">F81</f>
        <v>0</v>
      </c>
      <c r="G82" s="1123">
        <f>G81</f>
        <v>0</v>
      </c>
      <c r="H82" s="1101">
        <f t="shared" ref="H82" si="15">H81</f>
        <v>0</v>
      </c>
      <c r="I82" s="1103">
        <f>I81</f>
        <v>0</v>
      </c>
      <c r="K82" s="1128"/>
    </row>
    <row r="83" spans="1:11" ht="16.5" customHeight="1" x14ac:dyDescent="0.2">
      <c r="A83" s="1100" t="s">
        <v>1035</v>
      </c>
      <c r="B83" s="1101">
        <f>IF(C55=0,0,IF($B$6="ламель125",VLOOKUP(B$15,Данные1!$A$134:$AL$151,31,FALSE),0))</f>
        <v>0</v>
      </c>
      <c r="C83" s="1123">
        <f>IF(C55=0,0,IF($B$6="ламель125",VLOOKUP(B$15,Данные1!$A$134:$AL$151,32,FALSE),0))</f>
        <v>0</v>
      </c>
      <c r="D83" s="1101">
        <f>IF(E56=0,0,IF($B$6="ламель125",VLOOKUP(D$15,Данные1!$A$134:$AL$151,31,FALSE),0))</f>
        <v>0</v>
      </c>
      <c r="E83" s="1123">
        <f>IF(E56=0,0,IF($B$6="ламель125",VLOOKUP(D$15,Данные1!$A$134:$AL$151,32,FALSE),0))</f>
        <v>0</v>
      </c>
      <c r="F83" s="1101">
        <f>IF(G57=0,0,IF($B$6="ламель125",VLOOKUP(F$15,Данные1!$A$134:$AL$151,31,FALSE),0))</f>
        <v>0</v>
      </c>
      <c r="G83" s="1123">
        <f>IF(G55=0,0,IF($B$6="ламель125",VLOOKUP(F$15,Данные1!$A$134:$AL$151,32,FALSE),0))</f>
        <v>0</v>
      </c>
      <c r="H83" s="1101">
        <f>IF(I58=0,0,IF($B$6="ламель125",VLOOKUP(H$15,Данные1!$A$134:$AL$151,31,FALSE),0))</f>
        <v>0</v>
      </c>
      <c r="I83" s="1103">
        <f>IF(I58=0,0,IF($B$6="ламель125",VLOOKUP(H$15,Данные1!$A$134:$AL$151,32,FALSE),0))</f>
        <v>0</v>
      </c>
      <c r="K83" s="1128"/>
    </row>
    <row r="84" spans="1:11" ht="16.5" customHeight="1" x14ac:dyDescent="0.2">
      <c r="A84" s="1100" t="s">
        <v>1036</v>
      </c>
      <c r="B84" s="1101">
        <f t="shared" si="13"/>
        <v>0</v>
      </c>
      <c r="C84" s="1123">
        <f>C83</f>
        <v>0</v>
      </c>
      <c r="D84" s="1101">
        <f>D83</f>
        <v>0</v>
      </c>
      <c r="E84" s="1123">
        <f>E83</f>
        <v>0</v>
      </c>
      <c r="F84" s="1101">
        <f t="shared" ref="F84" si="16">F83</f>
        <v>0</v>
      </c>
      <c r="G84" s="1123">
        <f>G83</f>
        <v>0</v>
      </c>
      <c r="H84" s="1101">
        <f t="shared" ref="H84" si="17">H83</f>
        <v>0</v>
      </c>
      <c r="I84" s="1103">
        <f>I83</f>
        <v>0</v>
      </c>
      <c r="K84" s="1128"/>
    </row>
    <row r="85" spans="1:11" ht="16.5" customHeight="1" x14ac:dyDescent="0.2">
      <c r="A85" s="1100" t="s">
        <v>1061</v>
      </c>
      <c r="B85" s="1101">
        <f>IF(C55=0,0,IF($B$6="ламель125",VLOOKUP(B$15,Данные1!$A$134:$AL$151,4,FALSE),0))</f>
        <v>0</v>
      </c>
      <c r="C85" s="1123">
        <f>IF(C55=0,0,IF($B$6="ламель125",VLOOKUP(B$15,Данные1!$A$134:$AL$151,5,FALSE),0))</f>
        <v>0</v>
      </c>
      <c r="D85" s="1101">
        <f>IF(E56=0,0,IF($B$6="ламель125",VLOOKUP(D$15,Данные1!$A$134:$AL$151,4,FALSE),0))</f>
        <v>0</v>
      </c>
      <c r="E85" s="1123">
        <f>IF(E56=0,0,IF($B$6="ламель125",VLOOKUP(D$15,Данные1!$A$134:$AL$151,5,FALSE),0))</f>
        <v>0</v>
      </c>
      <c r="F85" s="1101">
        <f>IF(G57=0,0,IF($B$6="ламель125",VLOOKUP(F$15,Данные1!$A$134:$AL$151,4,FALSE),0))</f>
        <v>0</v>
      </c>
      <c r="G85" s="1123">
        <f>IF(G55=0,0,IF($B$6="ламель125",VLOOKUP(F$15,Данные1!$A$134:$AL$151,5,FALSE),0))</f>
        <v>0</v>
      </c>
      <c r="H85" s="1101">
        <f>IF(I58=0,0,IF($B$6="ламель125",VLOOKUP(H$15,Данные1!$A$134:$AL$151,4,FALSE),0))</f>
        <v>0</v>
      </c>
      <c r="I85" s="1103">
        <f>IF(I58=0,0,IF($B$6="ламель125",VLOOKUP(H$15,Данные1!$A$134:$AL$151,5,FALSE),0))</f>
        <v>0</v>
      </c>
      <c r="K85" s="1128"/>
    </row>
    <row r="86" spans="1:11" ht="16.5" customHeight="1" x14ac:dyDescent="0.2">
      <c r="A86" s="1100" t="s">
        <v>1062</v>
      </c>
      <c r="B86" s="1101">
        <f t="shared" ref="B86:C86" si="18">B85</f>
        <v>0</v>
      </c>
      <c r="C86" s="1123">
        <f t="shared" si="18"/>
        <v>0</v>
      </c>
      <c r="D86" s="1101">
        <f>D85</f>
        <v>0</v>
      </c>
      <c r="E86" s="1123">
        <f t="shared" ref="E86:I86" si="19">E85</f>
        <v>0</v>
      </c>
      <c r="F86" s="1101">
        <f t="shared" si="19"/>
        <v>0</v>
      </c>
      <c r="G86" s="1123">
        <f t="shared" si="19"/>
        <v>0</v>
      </c>
      <c r="H86" s="1101">
        <f t="shared" si="19"/>
        <v>0</v>
      </c>
      <c r="I86" s="1103">
        <f t="shared" si="19"/>
        <v>0</v>
      </c>
      <c r="K86" s="1128"/>
    </row>
    <row r="87" spans="1:11" ht="16.5" customHeight="1" x14ac:dyDescent="0.2">
      <c r="A87" s="1100" t="s">
        <v>1061</v>
      </c>
      <c r="B87" s="1101">
        <f>IF(C55=0,0,IF($B$6="ламель125",VLOOKUP(B$15,Данные1!$A$134:$AL$151,33,FALSE),0))</f>
        <v>0</v>
      </c>
      <c r="C87" s="1123">
        <f>IF(C55=0,0,IF($B$6="ламель125",VLOOKUP(B$15,Данные1!$A$134:$AL$151,34,FALSE),0))</f>
        <v>0</v>
      </c>
      <c r="D87" s="1101">
        <f>IF(E56=0,0,IF($B$6="ламель125",VLOOKUP(D$15,Данные1!$A$134:$AL$151,33,FALSE),0))</f>
        <v>0</v>
      </c>
      <c r="E87" s="1123">
        <f>IF(E56=0,0,IF($B$6="ламель125",VLOOKUP(D$15,Данные1!$A$134:$AL$151,34,FALSE),0))</f>
        <v>0</v>
      </c>
      <c r="F87" s="1101">
        <f>IF(G57=0,0,IF($B$6="ламель125",VLOOKUP(F$15,Данные1!$A$134:$AL$151,33,FALSE),0))</f>
        <v>0</v>
      </c>
      <c r="G87" s="1123">
        <f>IF(G55=0,0,IF($B$6="ламель125",VLOOKUP(F$15,Данные1!$A$134:$AL$151,34,FALSE),0))</f>
        <v>0</v>
      </c>
      <c r="H87" s="1101">
        <f>IF(I58=0,0,IF($B$6="ламель125",VLOOKUP(H$15,Данные1!$A$134:$AL$151,33,FALSE),0))</f>
        <v>0</v>
      </c>
      <c r="I87" s="1103">
        <f>IF(I58=0,0,IF($B$6="ламель125",VLOOKUP(H$15,Данные1!$A$134:$AL$151,34,FALSE),0))</f>
        <v>0</v>
      </c>
      <c r="K87" s="1128"/>
    </row>
    <row r="88" spans="1:11" ht="16.5" customHeight="1" x14ac:dyDescent="0.2">
      <c r="A88" s="1100" t="s">
        <v>1062</v>
      </c>
      <c r="B88" s="1101">
        <f t="shared" ref="B88" si="20">B87</f>
        <v>0</v>
      </c>
      <c r="C88" s="1123">
        <f>C87</f>
        <v>0</v>
      </c>
      <c r="D88" s="1101">
        <f>D87</f>
        <v>0</v>
      </c>
      <c r="E88" s="1123">
        <f>E87</f>
        <v>0</v>
      </c>
      <c r="F88" s="1101">
        <f t="shared" ref="F88" si="21">F87</f>
        <v>0</v>
      </c>
      <c r="G88" s="1123">
        <f>G87</f>
        <v>0</v>
      </c>
      <c r="H88" s="1101">
        <f t="shared" ref="H88" si="22">H87</f>
        <v>0</v>
      </c>
      <c r="I88" s="1103">
        <f>I87</f>
        <v>0</v>
      </c>
      <c r="K88" s="1128"/>
    </row>
    <row r="89" spans="1:11" ht="16.5" customHeight="1" x14ac:dyDescent="0.2">
      <c r="A89" s="1100" t="s">
        <v>1037</v>
      </c>
      <c r="B89" s="1101">
        <f>IF(C55=0,0,IF($B$6="ламель150",VLOOKUP(B$15,Данные1!$A$134:$AL$151,6,FALSE),0))</f>
        <v>0</v>
      </c>
      <c r="C89" s="1123">
        <f>IF(C55=0,0,IF($B$6="ламель150",VLOOKUP(B$15,Данные1!$A$134:$AL$151,7,FALSE),0))</f>
        <v>0</v>
      </c>
      <c r="D89" s="1101">
        <f>IF(E56=0,0,IF($B$6="ламель150",VLOOKUP(D$15,Данные1!$A$134:$AL$151,6,FALSE),0))</f>
        <v>0</v>
      </c>
      <c r="E89" s="1123">
        <f>IF(E56=0,0,IF($B$6="ламель150",VLOOKUP(D$15,Данные1!$A$134:$AL$151,7,FALSE),0))</f>
        <v>0</v>
      </c>
      <c r="F89" s="1101">
        <f>IF(G57=0,0,IF($B$6="ламель150",VLOOKUP(F$15,Данные1!$A$134:$AL$151,6,FALSE),0))</f>
        <v>0</v>
      </c>
      <c r="G89" s="1123">
        <f>IF(G55=0,0,IF($B$6="ламель150",VLOOKUP(F$15,Данные1!$A$134:$AL$151,7,FALSE),0))</f>
        <v>0</v>
      </c>
      <c r="H89" s="1101">
        <f>IF(I58=0,0,IF($B$6="ламель150",VLOOKUP(H$15,Данные1!$A$134:$AL$151,6,FALSE),0))</f>
        <v>0</v>
      </c>
      <c r="I89" s="1103">
        <f>IF(I58=0,0,IF($B$6="ламель150",VLOOKUP(H$15,Данные1!$A$134:$AL$151,7,FALSE),0))</f>
        <v>0</v>
      </c>
      <c r="K89" s="1128"/>
    </row>
    <row r="90" spans="1:11" ht="16.5" customHeight="1" x14ac:dyDescent="0.2">
      <c r="A90" s="1100" t="s">
        <v>1038</v>
      </c>
      <c r="B90" s="1101">
        <f t="shared" ref="B90:C90" si="23">B89</f>
        <v>0</v>
      </c>
      <c r="C90" s="1123">
        <f t="shared" si="23"/>
        <v>0</v>
      </c>
      <c r="D90" s="1101">
        <f>D89</f>
        <v>0</v>
      </c>
      <c r="E90" s="1123">
        <f t="shared" ref="E90:I90" si="24">E89</f>
        <v>0</v>
      </c>
      <c r="F90" s="1101">
        <f t="shared" si="24"/>
        <v>0</v>
      </c>
      <c r="G90" s="1123">
        <f t="shared" si="24"/>
        <v>0</v>
      </c>
      <c r="H90" s="1101">
        <f t="shared" si="24"/>
        <v>0</v>
      </c>
      <c r="I90" s="1103">
        <f t="shared" si="24"/>
        <v>0</v>
      </c>
      <c r="K90" s="1128"/>
    </row>
    <row r="91" spans="1:11" ht="16.5" customHeight="1" x14ac:dyDescent="0.2">
      <c r="A91" s="1100" t="s">
        <v>1037</v>
      </c>
      <c r="B91" s="1101">
        <f>IF(C55=0,0,IF($B$6="ламель125",0,VLOOKUP(B$15,Данные1!$A$134:$AL$151,35,FALSE)))</f>
        <v>0</v>
      </c>
      <c r="C91" s="1123">
        <f>IF(C55=0,0,IF($B$6="ламель125",0,VLOOKUP(B$15,Данные1!$A$134:$AL$151,36,FALSE)))</f>
        <v>0</v>
      </c>
      <c r="D91" s="1101">
        <f>IF(E56=0,0,IF($B$6="ламель125",0,VLOOKUP(D$15,Данные1!$A$134:$AL$151,35,FALSE)))</f>
        <v>0</v>
      </c>
      <c r="E91" s="1123">
        <f>IF(E56=0,0,IF($B$6="ламель125",0,VLOOKUP(D$15,Данные1!$A$134:$AL$151,36,FALSE)))</f>
        <v>0</v>
      </c>
      <c r="F91" s="1101">
        <f>IF(G57=0,0,IF($B$6="ламель125",0,VLOOKUP(F$15,Данные1!$A$134:$AL$151,35,FALSE)))</f>
        <v>0</v>
      </c>
      <c r="G91" s="1123">
        <f>IF(G55=0,0,IF($B$6="ламель125",0,VLOOKUP(F$15,Данные1!$A$134:$AL$151,36,FALSE)))</f>
        <v>0</v>
      </c>
      <c r="H91" s="1101">
        <f>IF(I58=0,0,IF($B$6="ламель125",0,VLOOKUP(H$15,Данные1!$A$134:$AL$151,35,FALSE)))</f>
        <v>0</v>
      </c>
      <c r="I91" s="1103">
        <f>IF(I58=0,0,IF($B$6="ламель125",0,VLOOKUP(H$15,Данные1!$A$134:$AL$151,36,FALSE)))</f>
        <v>0</v>
      </c>
      <c r="K91" s="1128"/>
    </row>
    <row r="92" spans="1:11" ht="16.5" customHeight="1" x14ac:dyDescent="0.2">
      <c r="A92" s="1100" t="s">
        <v>1038</v>
      </c>
      <c r="B92" s="1101">
        <f t="shared" ref="B92" si="25">B91</f>
        <v>0</v>
      </c>
      <c r="C92" s="1123">
        <f>C91</f>
        <v>0</v>
      </c>
      <c r="D92" s="1101">
        <f>D91</f>
        <v>0</v>
      </c>
      <c r="E92" s="1123">
        <f>E91</f>
        <v>0</v>
      </c>
      <c r="F92" s="1101">
        <f t="shared" ref="F92" si="26">F91</f>
        <v>0</v>
      </c>
      <c r="G92" s="1123">
        <f>G91</f>
        <v>0</v>
      </c>
      <c r="H92" s="1101">
        <f t="shared" ref="H92" si="27">H91</f>
        <v>0</v>
      </c>
      <c r="I92" s="1103">
        <f>I91</f>
        <v>0</v>
      </c>
      <c r="K92" s="1128"/>
    </row>
    <row r="93" spans="1:11" ht="16.5" customHeight="1" x14ac:dyDescent="0.2">
      <c r="A93" s="1100" t="s">
        <v>1063</v>
      </c>
      <c r="B93" s="1101">
        <f>IF(C55=0,0,IF($B$6="ламель150",VLOOKUP(B$15,Данные1!$A$134:$AL$151,8,FALSE),0))</f>
        <v>0</v>
      </c>
      <c r="C93" s="1123">
        <f>IF(C55=0,0,IF($B$6="ламель150",VLOOKUP(B$15,Данные1!$A$134:$AL$151,9,FALSE),0))</f>
        <v>0</v>
      </c>
      <c r="D93" s="1101">
        <f>IF(E56=0,0,IF($B$6="ламель150",VLOOKUP(D$15,Данные1!$A$134:$AL$151,8,FALSE),0))</f>
        <v>0</v>
      </c>
      <c r="E93" s="1123">
        <f>IF(E56=0,0,IF($B$6="ламель150",VLOOKUP(D$15,Данные1!$A$134:$AL$151,9,FALSE),0))</f>
        <v>0</v>
      </c>
      <c r="F93" s="1101">
        <f>IF(G57=0,0,IF($B$6="ламель150",VLOOKUP(F$15,Данные1!$A$134:$AL$151,8,FALSE),0))</f>
        <v>0</v>
      </c>
      <c r="G93" s="1123">
        <f>IF(G55=0,0,IF($B$6="ламель150",VLOOKUP(F$15,Данные1!$A$134:$AL$151,9,FALSE),0))</f>
        <v>0</v>
      </c>
      <c r="H93" s="1101">
        <f>IF(I58=0,0,IF($B$6="ламель150",VLOOKUP(H$15,Данные1!$A$134:$AL$151,8,FALSE),0))</f>
        <v>0</v>
      </c>
      <c r="I93" s="1103">
        <f>IF(I58=0,0,IF($B$6="ламель150",VLOOKUP(H$15,Данные1!$A$134:$AL$151,9,FALSE),0))</f>
        <v>0</v>
      </c>
      <c r="K93" s="1128"/>
    </row>
    <row r="94" spans="1:11" ht="16.5" customHeight="1" x14ac:dyDescent="0.2">
      <c r="A94" s="1100" t="s">
        <v>1064</v>
      </c>
      <c r="B94" s="1101">
        <f>B93</f>
        <v>0</v>
      </c>
      <c r="C94" s="1123">
        <f t="shared" ref="C94:E94" si="28">C93</f>
        <v>0</v>
      </c>
      <c r="D94" s="1101">
        <f>D93</f>
        <v>0</v>
      </c>
      <c r="E94" s="1123">
        <f t="shared" si="28"/>
        <v>0</v>
      </c>
      <c r="F94" s="1101">
        <f>F93</f>
        <v>0</v>
      </c>
      <c r="G94" s="1123">
        <f t="shared" ref="G94" si="29">G93</f>
        <v>0</v>
      </c>
      <c r="H94" s="1101">
        <f>H93</f>
        <v>0</v>
      </c>
      <c r="I94" s="1103">
        <f t="shared" ref="I94" si="30">I93</f>
        <v>0</v>
      </c>
      <c r="K94" s="1128"/>
    </row>
    <row r="95" spans="1:11" ht="16.5" customHeight="1" x14ac:dyDescent="0.2">
      <c r="A95" s="1100" t="s">
        <v>1063</v>
      </c>
      <c r="B95" s="1101">
        <f>IF(C55=0,0,IF($B$6="ламель125",0,VLOOKUP(B$15,Данные1!$A$134:$AL$151,37,FALSE)))</f>
        <v>0</v>
      </c>
      <c r="C95" s="1123">
        <f>IF(C55=0,0,IF($B$6="ламель125",0,VLOOKUP(B$15,Данные1!$A$134:$AL$151,38,FALSE)))</f>
        <v>0</v>
      </c>
      <c r="D95" s="1101">
        <f>IF(E56=0,0,IF($B$6="ламель125",0,VLOOKUP(D$15,Данные1!$A$134:$AL$151,37,FALSE)))</f>
        <v>0</v>
      </c>
      <c r="E95" s="1123">
        <f>IF(E56=0,0,IF($B$6="ламель125",0,VLOOKUP(D$15,Данные1!$A$134:$AL$151,38,FALSE)))</f>
        <v>0</v>
      </c>
      <c r="F95" s="1101">
        <f>IF(G57=0,0,IF($B$6="ламель125",0,VLOOKUP(F$15,Данные1!$A$134:$AL$151,37,FALSE)))</f>
        <v>0</v>
      </c>
      <c r="G95" s="1123">
        <f>IF(G55=0,0,IF($B$6="ламель125",0,VLOOKUP(F$15,Данные1!$A$134:$AL$151,38,FALSE)))</f>
        <v>0</v>
      </c>
      <c r="H95" s="1101">
        <f>IF(I58=0,0,IF($B$6="ламель125",0,VLOOKUP(H$15,Данные1!$A$134:$AL$151,37,FALSE)))</f>
        <v>0</v>
      </c>
      <c r="I95" s="1103">
        <f>IF(I58=0,0,IF($B$6="ламель125",0,VLOOKUP(H$15,Данные1!$A$134:$AL$151,38,FALSE)))</f>
        <v>0</v>
      </c>
      <c r="K95" s="1128"/>
    </row>
    <row r="96" spans="1:11" ht="16.5" customHeight="1" x14ac:dyDescent="0.2">
      <c r="A96" s="1100" t="s">
        <v>1064</v>
      </c>
      <c r="B96" s="1101">
        <f t="shared" ref="B96" si="31">B95</f>
        <v>0</v>
      </c>
      <c r="C96" s="1123">
        <f>C95</f>
        <v>0</v>
      </c>
      <c r="D96" s="1101">
        <f>D95</f>
        <v>0</v>
      </c>
      <c r="E96" s="1123">
        <f>E95</f>
        <v>0</v>
      </c>
      <c r="F96" s="1101">
        <f t="shared" ref="F96" si="32">F95</f>
        <v>0</v>
      </c>
      <c r="G96" s="1123">
        <f>G95</f>
        <v>0</v>
      </c>
      <c r="H96" s="1101">
        <f t="shared" ref="H96" si="33">H95</f>
        <v>0</v>
      </c>
      <c r="I96" s="1103">
        <f>I95</f>
        <v>0</v>
      </c>
      <c r="K96" s="1128"/>
    </row>
    <row r="97" spans="1:30" ht="16.5" customHeight="1" x14ac:dyDescent="0.2">
      <c r="A97" s="1100" t="s">
        <v>1044</v>
      </c>
      <c r="B97" s="1101">
        <f>IF(C55=0,0,VLOOKUP(B15,Данные1!$A$134:$AO$151,41,FALSE))</f>
        <v>0</v>
      </c>
      <c r="C97" s="1123">
        <f>IF(C55=0,0,VLOOKUP(B15,Данные1!$A$134:$AO$151,40,FALSE))</f>
        <v>0</v>
      </c>
      <c r="D97" s="1101">
        <f>IF(E56=0,0,VLOOKUP(D15,Данные1!$A$134:$AO$151,41,FALSE))</f>
        <v>0</v>
      </c>
      <c r="E97" s="1123">
        <f>IF(E56=0,0,VLOOKUP(D15,Данные1!$A$134:$AO$151,40,FALSE))</f>
        <v>0</v>
      </c>
      <c r="F97" s="1101">
        <f>IF(G57=0,0,VLOOKUP(F15,Данные1!$A$134:$AO$151,41,FALSE))</f>
        <v>0</v>
      </c>
      <c r="G97" s="1123">
        <f>IF(G55=0,0,VLOOKUP(F15,Данные1!$A$134:$AO$151,40,FALSE))</f>
        <v>0</v>
      </c>
      <c r="H97" s="1101">
        <f>IF(I58=0,0,VLOOKUP(H15,Данные1!$A$134:$AO$151,41,FALSE))</f>
        <v>0</v>
      </c>
      <c r="I97" s="1103">
        <f>IF(I58=0,0,VLOOKUP(H15,Данные1!$A$134:$AO$151,40,FALSE))</f>
        <v>0</v>
      </c>
      <c r="K97" s="1128"/>
    </row>
    <row r="98" spans="1:30" ht="16.5" customHeight="1" x14ac:dyDescent="0.2">
      <c r="A98" s="1100" t="s">
        <v>1053</v>
      </c>
      <c r="B98" s="1101">
        <f>IF(C55=0,0,IF(AND(IF($B$6="ламель125",VLOOKUP(B$15,Данные1!$A$134:$AL$151,10,FALSE),VLOOKUP(B$15,Данные1!$A$134:$AL$151,12,FALSE))&gt;=0.1, IF($B$6="ламель125",VLOOKUP(B$15,Данные1!$A$134:$AL$151,10,FALSE),VLOOKUP(B$15,Данные1!$A$134:$AL$151,12,FALSE))&lt;=1.8), 1.8, IF(AND(IF($B$6="ламель125",VLOOKUP(B$15,Данные1!$A$134:$AL$151,10,FALSE),VLOOKUP(B$15,Данные1!$A$134:$AL$151,12,FALSE))&gt;1.8, IF($B$6="ламель125",VLOOKUP(B$15,Данные1!$A$134:$AL$151,10,FALSE),VLOOKUP(B$15,Данные1!$A$134:$AL$151,12,FALSE))&lt;=2), 2, IF(AND(IF($B$6="ламель125",VLOOKUP(B$15,Данные1!$A$134:$AL$151,10,FALSE),VLOOKUP(B$15,Данные1!$A$134:$AL$151,12,FALSE))&gt;2, IF($B$6="ламель125",VLOOKUP(B$15,Данные1!$A$134:$AL$151,10,FALSE),VLOOKUP(B$15,Данные1!$A$134:$AL$151,12,FALSE))&lt;=2.5), 2.5, IF(AND(IF($B$6="ламель125",VLOOKUP(B$15,Данные1!$A$134:$AL$151,10,FALSE),VLOOKUP(B$15,Данные1!$A$134:$AL$151,12,FALSE))&gt;2.5, IF($B$6="ламель125",VLOOKUP(B$15,Данные1!$A$134:$AL$151,10,FALSE),VLOOKUP(B$15,Данные1!$A$134:$AL$151,12,FALSE))&lt;=3), 3, 0)))))</f>
        <v>0</v>
      </c>
      <c r="C98" s="1123">
        <f>IF(C55=0,0,IF($B$6="ламель125",VLOOKUP(B$15,Данные1!$A$134:$AL$151,11,FALSE),VLOOKUP(B$15,Данные1!$A$134:$AL$151,13,FALSE)))</f>
        <v>0</v>
      </c>
      <c r="D98" s="1101">
        <f>IF(E56=0,0,IF(AND(IF($B$6="ламель125",VLOOKUP(D$15,Данные1!$A$134:$AL$151,10,FALSE),VLOOKUP(D$15,Данные1!$A$134:$AL$151,12,FALSE))&gt;=0.1, IF($B$6="ламель125",VLOOKUP(D$15,Данные1!$A$134:$AL$151,10,FALSE),VLOOKUP(D$15,Данные1!$A$134:$AL$151,12,FALSE))&lt;=1.8), 1.8, IF(AND(IF($B$6="ламель125",VLOOKUP(D$15,Данные1!$A$134:$AL$151,10,FALSE),VLOOKUP(D$15,Данные1!$A$134:$AL$151,12,FALSE))&gt;1.8, IF($B$6="ламель125",VLOOKUP(D$15,Данные1!$A$134:$AL$151,10,FALSE),VLOOKUP(D$15,Данные1!$A$134:$AL$151,12,FALSE))&lt;=2), 2, IF(AND(IF($B$6="ламель125",VLOOKUP(D$15,Данные1!$A$134:$AL$151,10,FALSE),VLOOKUP(D$15,Данные1!$A$134:$AL$151,12,FALSE))&gt;2, IF($B$6="ламель125",VLOOKUP(D$15,Данные1!$A$134:$AL$151,10,FALSE),VLOOKUP(D$15,Данные1!$A$134:$AL$151,12,FALSE))&lt;=2.5), 2.5, IF(AND(IF($B$6="ламель125",VLOOKUP(D$15,Данные1!$A$134:$AL$151,10,FALSE),VLOOKUP(D$15,Данные1!$A$134:$AL$151,12,FALSE))&gt;2.5, IF($B$6="ламель125",VLOOKUP(D$15,Данные1!$A$134:$AL$151,10,FALSE),VLOOKUP(D$15,Данные1!$A$134:$AL$151,12,FALSE))&lt;=3), 3, 0)))))</f>
        <v>0</v>
      </c>
      <c r="E98" s="1123">
        <f>IF(E56=0,0,IF($B$6="ламель125",VLOOKUP(D$15,Данные1!$A$134:$AL$151,11,FALSE),VLOOKUP(D$15,Данные1!$A$134:$AL$151,13,FALSE)))</f>
        <v>0</v>
      </c>
      <c r="F98" s="1101">
        <f>IF(G57=0,0,IF(AND(IF($B$6="ламель125",VLOOKUP(F$15,Данные1!$A$134:$AL$151,10,FALSE),VLOOKUP(F$15,Данные1!$A$134:$AL$151,12,FALSE))&gt;=0.1, IF($B$6="ламель125",VLOOKUP(F$15,Данные1!$A$134:$AL$151,10,FALSE),VLOOKUP(F$15,Данные1!$A$134:$AL$151,12,FALSE))&lt;=1.8), 1.8, IF(AND(IF($B$6="ламель125",VLOOKUP(F$15,Данные1!$A$134:$AL$151,10,FALSE),VLOOKUP(F$15,Данные1!$A$134:$AL$151,12,FALSE))&gt;1.8, IF($B$6="ламель125",VLOOKUP(F$15,Данные1!$A$134:$AL$151,10,FALSE),VLOOKUP(F$15,Данные1!$A$134:$AL$151,12,FALSE))&lt;=2), 2, IF(AND(IF($B$6="ламель125",VLOOKUP(F$15,Данные1!$A$134:$AL$151,10,FALSE),VLOOKUP(F$15,Данные1!$A$134:$AL$151,12,FALSE))&gt;2, IF($B$6="ламель125",VLOOKUP(F$15,Данные1!$A$134:$AL$151,10,FALSE),VLOOKUP(F$15,Данные1!$A$134:$AL$151,12,FALSE))&lt;=2.5), 2.5, IF(AND(IF($B$6="ламель125",VLOOKUP(F$15,Данные1!$A$134:$AL$151,10,FALSE),VLOOKUP(F$15,Данные1!$A$134:$AL$151,12,FALSE))&gt;2.5, IF($B$6="ламель125",VLOOKUP(F$15,Данные1!$A$134:$AL$151,10,FALSE),VLOOKUP(F$15,Данные1!$A$134:$AL$151,12,FALSE))&lt;=3), 3, 0)))))</f>
        <v>0</v>
      </c>
      <c r="G98" s="1123">
        <f>IF(G55=0,0,IF($B$6="ламель125",VLOOKUP(F$15,Данные1!$A$134:$AL$151,11,FALSE),VLOOKUP(F$15,Данные1!$A$134:$AL$151,13,FALSE)))</f>
        <v>0</v>
      </c>
      <c r="H98" s="1101">
        <f>IF(I58=0,0,IF(AND(IF($B$6="ламель125",VLOOKUP(H$15,Данные1!$A$134:$AL$151,10,FALSE),VLOOKUP(H$15,Данные1!$A$134:$AL$151,12,FALSE))&gt;=0.1, IF($B$6="ламель125",VLOOKUP(H$15,Данные1!$A$134:$AL$151,10,FALSE),VLOOKUP(H$15,Данные1!$A$134:$AL$151,12,FALSE))&lt;=1.8), 1.8, IF(AND(IF($B$6="ламель125",VLOOKUP(H$15,Данные1!$A$134:$AL$151,10,FALSE),VLOOKUP(H$15,Данные1!$A$134:$AL$151,12,FALSE))&gt;1.8, IF($B$6="ламель125",VLOOKUP(H$15,Данные1!$A$134:$AL$151,10,FALSE),VLOOKUP(H$15,Данные1!$A$134:$AL$151,12,FALSE))&lt;=2), 2, IF(AND(IF($B$6="ламель125",VLOOKUP(H$15,Данные1!$A$134:$AL$151,10,FALSE),VLOOKUP(H$15,Данные1!$A$134:$AL$151,12,FALSE))&gt;2, IF($B$6="ламель125",VLOOKUP(H$15,Данные1!$A$134:$AL$151,10,FALSE),VLOOKUP(H$15,Данные1!$A$134:$AL$151,12,FALSE))&lt;=2.5), 2.5, IF(AND(IF($B$6="ламель125",VLOOKUP(H$15,Данные1!$A$134:$AL$151,10,FALSE),VLOOKUP(H$15,Данные1!$A$134:$AL$151,12,FALSE))&gt;2.5, IF($B$6="ламель125",VLOOKUP(H$15,Данные1!$A$134:$AL$151,10,FALSE),VLOOKUP(H$15,Данные1!$A$134:$AL$151,12,FALSE))&lt;=3), 3, 0)))))</f>
        <v>0</v>
      </c>
      <c r="I98" s="1103">
        <f>IF(I58=0,0,IF($B$6="ламель125",VLOOKUP(H$15,Данные1!$A$134:$AL$151,11,FALSE),VLOOKUP(H$15,Данные1!$A$134:$AL$151,13,FALSE)))</f>
        <v>0</v>
      </c>
      <c r="K98" s="1128"/>
    </row>
    <row r="99" spans="1:30" ht="16.5" customHeight="1" x14ac:dyDescent="0.2">
      <c r="A99" s="1100" t="s">
        <v>1054</v>
      </c>
      <c r="B99" s="1101" t="s">
        <v>18</v>
      </c>
      <c r="C99" s="1123">
        <f>IF(C55=0,0,IF($B$6="ламель125",VLOOKUP(B$15,Данные1!$A$134:$AL$151,21,FALSE),0))</f>
        <v>0</v>
      </c>
      <c r="D99" s="1101" t="s">
        <v>18</v>
      </c>
      <c r="E99" s="1123">
        <f>IF(E56=0,0,IF($B$6="ламель125",VLOOKUP(D$15,Данные1!$A$134:$AL$151,21,FALSE),0))</f>
        <v>0</v>
      </c>
      <c r="F99" s="1101" t="s">
        <v>18</v>
      </c>
      <c r="G99" s="1123">
        <f>IF(G55=0,0,IF($B$6="ламель125",VLOOKUP(F$15,Данные1!$A$134:$AL$151,21,FALSE),0))</f>
        <v>0</v>
      </c>
      <c r="H99" s="1101" t="s">
        <v>18</v>
      </c>
      <c r="I99" s="1103">
        <f>IF(I58=0,0,IF($B$6="ламель125",VLOOKUP(H$15,Данные1!$A$134:$AL$151,21,FALSE),0))</f>
        <v>0</v>
      </c>
      <c r="K99" s="1128"/>
    </row>
    <row r="100" spans="1:30" ht="16.5" customHeight="1" x14ac:dyDescent="0.2">
      <c r="A100" s="1100" t="s">
        <v>1055</v>
      </c>
      <c r="B100" s="1101" t="s">
        <v>18</v>
      </c>
      <c r="C100" s="1123">
        <f>IF(C55=0,0,IF($B$6="ламель125",VLOOKUP(B$15,Данные1!$A$134:$AL$151,22,FALSE),0))</f>
        <v>0</v>
      </c>
      <c r="D100" s="1101" t="s">
        <v>18</v>
      </c>
      <c r="E100" s="1123">
        <f>IF(E56=0,0,IF($B$6="ламель125",VLOOKUP(D$15,Данные1!$A$134:$AL$151,22,FALSE),0))</f>
        <v>0</v>
      </c>
      <c r="F100" s="1101" t="s">
        <v>18</v>
      </c>
      <c r="G100" s="1123">
        <f>IF(G55=0,0,IF($B$6="ламель125",VLOOKUP(F$15,Данные1!$A$134:$AL$151,22,FALSE),0))</f>
        <v>0</v>
      </c>
      <c r="H100" s="1101" t="s">
        <v>18</v>
      </c>
      <c r="I100" s="1103">
        <f>IF(I58=0,0,IF($B$6="ламель125",VLOOKUP(H$15,Данные1!$A$134:$AL$151,22,FALSE),0))</f>
        <v>0</v>
      </c>
      <c r="K100" s="1128"/>
    </row>
    <row r="101" spans="1:30" ht="16.5" customHeight="1" x14ac:dyDescent="0.2">
      <c r="A101" s="1100" t="s">
        <v>1056</v>
      </c>
      <c r="B101" s="1101" t="s">
        <v>18</v>
      </c>
      <c r="C101" s="1123">
        <f>IF(C55=0,0,IF($B$6="ламель125",VLOOKUP(B$15,Данные1!$A$134:$AL$151,23,FALSE),0))</f>
        <v>0</v>
      </c>
      <c r="D101" s="1101" t="s">
        <v>18</v>
      </c>
      <c r="E101" s="1123">
        <f>IF(E56=0,0,IF($B$6="ламель125",VLOOKUP(D$15,Данные1!$A$134:$AL$151,23,FALSE),0))</f>
        <v>0</v>
      </c>
      <c r="F101" s="1101" t="s">
        <v>18</v>
      </c>
      <c r="G101" s="1123">
        <f>IF(G55=0,0,IF($B$6="ламель125",VLOOKUP(F$15,Данные1!$A$134:$AL$151,23,FALSE),0))</f>
        <v>0</v>
      </c>
      <c r="H101" s="1101" t="s">
        <v>18</v>
      </c>
      <c r="I101" s="1103">
        <f>IF(I58=0,0,IF($B$6="ламель125",VLOOKUP(H$15,Данные1!$A$134:$AL$151,23,FALSE),0))</f>
        <v>0</v>
      </c>
      <c r="K101" s="1128"/>
    </row>
    <row r="102" spans="1:30" ht="16.5" customHeight="1" x14ac:dyDescent="0.2">
      <c r="A102" s="1100" t="s">
        <v>1057</v>
      </c>
      <c r="B102" s="1101" t="s">
        <v>18</v>
      </c>
      <c r="C102" s="1123">
        <f>IF(C55=0,0,IF($B$6="ламель150",VLOOKUP(B$15,Данные1!$A$134:$AL$151,24,FALSE),0))</f>
        <v>0</v>
      </c>
      <c r="D102" s="1101" t="s">
        <v>18</v>
      </c>
      <c r="E102" s="1123">
        <f>IF(E56=0,0,IF($B$6="ламель150",VLOOKUP(D$15,Данные1!$A$134:$AL$151,24,FALSE),0))</f>
        <v>0</v>
      </c>
      <c r="F102" s="1101" t="s">
        <v>18</v>
      </c>
      <c r="G102" s="1123">
        <f>IF(G55=0,0,IF($B$6="ламель150",VLOOKUP(F$15,Данные1!$A$134:$AL$151,24,FALSE),0))</f>
        <v>0</v>
      </c>
      <c r="H102" s="1101" t="s">
        <v>18</v>
      </c>
      <c r="I102" s="1103">
        <f>IF(I58=0,0,IF($B$6="ламель150",VLOOKUP(H$15,Данные1!$A$134:$AL$151,24,FALSE),0))</f>
        <v>0</v>
      </c>
      <c r="K102" s="1128"/>
    </row>
    <row r="103" spans="1:30" ht="16.5" customHeight="1" x14ac:dyDescent="0.2">
      <c r="A103" s="1100" t="s">
        <v>1058</v>
      </c>
      <c r="B103" s="1101" t="s">
        <v>18</v>
      </c>
      <c r="C103" s="1123">
        <f>IF(C55=0,0,IF($B$6="ламель150",VLOOKUP(B$15,Данные1!$A$134:$AL$151,25,FALSE),0))</f>
        <v>0</v>
      </c>
      <c r="D103" s="1101" t="s">
        <v>18</v>
      </c>
      <c r="E103" s="1123">
        <f>IF(E56=0,0,IF($B$6="ламель150",VLOOKUP(D$15,Данные1!$A$134:$AL$151,25,FALSE),0))</f>
        <v>0</v>
      </c>
      <c r="F103" s="1101" t="s">
        <v>18</v>
      </c>
      <c r="G103" s="1123">
        <f>IF(G55=0,0,IF($B$6="ламель150",VLOOKUP(F$15,Данные1!$A$134:$AL$151,25,FALSE),0))</f>
        <v>0</v>
      </c>
      <c r="H103" s="1101" t="s">
        <v>18</v>
      </c>
      <c r="I103" s="1103">
        <f>IF(I58=0,0,IF($B$6="ламель150",VLOOKUP(H$15,Данные1!$A$134:$AL$151,25,FALSE),0))</f>
        <v>0</v>
      </c>
      <c r="K103" s="1128"/>
    </row>
    <row r="104" spans="1:30" ht="16.5" customHeight="1" x14ac:dyDescent="0.2">
      <c r="A104" s="1100" t="s">
        <v>1059</v>
      </c>
      <c r="B104" s="1101" t="s">
        <v>18</v>
      </c>
      <c r="C104" s="1123">
        <f>IF(C55=0,0,IF($B$6="ламель150",VLOOKUP(B$15,Данные1!$A$134:$AL$151,26,FALSE),0))</f>
        <v>0</v>
      </c>
      <c r="D104" s="1101" t="s">
        <v>18</v>
      </c>
      <c r="E104" s="1123">
        <f>IF(E56=0,0,IF($B$6="ламель150",VLOOKUP(D$15,Данные1!$A$134:$AL$151,26,FALSE),0))</f>
        <v>0</v>
      </c>
      <c r="F104" s="1101" t="s">
        <v>18</v>
      </c>
      <c r="G104" s="1123">
        <f>IF(G55=0,0,IF($B$6="ламель150",VLOOKUP(F$15,Данные1!$A$134:$AL$151,26,FALSE),0))</f>
        <v>0</v>
      </c>
      <c r="H104" s="1101" t="s">
        <v>18</v>
      </c>
      <c r="I104" s="1103">
        <f>IF(I58=0,0,IF($B$6="ламель150",VLOOKUP(H$15,Данные1!$A$134:$AL$151,26,FALSE),0))</f>
        <v>0</v>
      </c>
      <c r="K104" s="1128"/>
    </row>
    <row r="105" spans="1:30" ht="16.5" customHeight="1" x14ac:dyDescent="0.2">
      <c r="A105" s="1100" t="s">
        <v>1065</v>
      </c>
      <c r="B105" s="1107">
        <f>IF(C55=0,0,IF(C105=0,"-","4,0х10"))</f>
        <v>0</v>
      </c>
      <c r="C105" s="1123">
        <f>IF(C55=0,0,IF($B$6="ламель125",VLOOKUP(B$15,Данные1!$A$134:$AL$151,18,FALSE),VLOOKUP(B$15,Данные1!$A$134:$AL$151,19,FALSE)))</f>
        <v>0</v>
      </c>
      <c r="D105" s="1107">
        <f>IF(E56=0,0,IF(E105=0,"-","4,0х10"))</f>
        <v>0</v>
      </c>
      <c r="E105" s="1123">
        <f>IF(E56=0,0,IF($B$6="ламель125",VLOOKUP(D$15,Данные1!$A$134:$AL$151,18,FALSE),VLOOKUP(D$15,Данные1!$A$134:$AL$151,19,FALSE)))</f>
        <v>0</v>
      </c>
      <c r="F105" s="1107">
        <f>IF(G55=0,0,IF(G105=0,"-","4,0х10"))</f>
        <v>0</v>
      </c>
      <c r="G105" s="1123">
        <f>IF(G57=0,0,IF($B$6="ламель125",VLOOKUP(F$15,Данные1!$A$134:$AL$151,18,FALSE),VLOOKUP(F$15,Данные1!$A$134:$AL$151,19,FALSE)))</f>
        <v>0</v>
      </c>
      <c r="H105" s="1107">
        <f>IF(I58=0,0,IF(I105=0,"-","4,0х10"))</f>
        <v>0</v>
      </c>
      <c r="I105" s="1103">
        <f>IF(I58=0,0,IF($B$6="ламель125",VLOOKUP(H$15,Данные1!$A$134:$AL$151,18,FALSE),VLOOKUP(H$15,Данные1!$A$134:$AL$151,19,FALSE)))</f>
        <v>0</v>
      </c>
      <c r="K105" s="1128"/>
      <c r="R105" s="1126"/>
      <c r="S105" s="1085"/>
      <c r="T105" s="1085"/>
      <c r="U105" s="1085"/>
      <c r="V105" s="1085"/>
      <c r="W105" s="1085"/>
      <c r="X105" s="1085"/>
      <c r="Y105" s="1085"/>
      <c r="Z105" s="1135"/>
      <c r="AA105" s="1128"/>
      <c r="AB105" s="1112"/>
      <c r="AC105" s="1112"/>
      <c r="AD105" s="1112"/>
    </row>
    <row r="106" spans="1:30" ht="16.5" customHeight="1" x14ac:dyDescent="0.2">
      <c r="A106" s="1109" t="s">
        <v>1048</v>
      </c>
      <c r="B106" s="1107">
        <f>IF(C55=0,0,IF(C106=0,"-","4,2x16"))</f>
        <v>0</v>
      </c>
      <c r="C106" s="1123">
        <f>((C81+C85)*2+(C89+C93)*2)*C108</f>
        <v>0</v>
      </c>
      <c r="D106" s="1107">
        <f>IF(E56=0,0,IF(E106=0,"-","4,2x16"))</f>
        <v>0</v>
      </c>
      <c r="E106" s="1123">
        <f>((E81+E85)*2+(E89+E93)*2)*E108</f>
        <v>0</v>
      </c>
      <c r="F106" s="1107">
        <f>IF(G55=0,0,IF(G106=0,"-","4,2x16"))</f>
        <v>0</v>
      </c>
      <c r="G106" s="1123">
        <f>IF(G57=0,0,VLOOKUP(F$15,Данные1!$A$134:$AL$151,20,FALSE))</f>
        <v>0</v>
      </c>
      <c r="H106" s="1107">
        <f>IF(I58=0,0,IF(I106=0,"-","4,2x16"))</f>
        <v>0</v>
      </c>
      <c r="I106" s="1103">
        <f>((I81+I85)*2+(I89+I93)*2)*I108</f>
        <v>0</v>
      </c>
      <c r="K106" s="1128"/>
      <c r="R106" s="1126"/>
      <c r="S106" s="1085"/>
      <c r="T106" s="1085"/>
      <c r="U106" s="1085"/>
      <c r="V106" s="1085"/>
      <c r="W106" s="1085"/>
      <c r="X106" s="1085"/>
      <c r="Y106" s="1085"/>
      <c r="Z106" s="1135"/>
      <c r="AA106" s="1128"/>
      <c r="AB106" s="1112"/>
      <c r="AC106" s="1112"/>
      <c r="AD106" s="1112"/>
    </row>
    <row r="107" spans="1:30" ht="16.5" customHeight="1" x14ac:dyDescent="0.2">
      <c r="A107" s="1109" t="s">
        <v>1048</v>
      </c>
      <c r="B107" s="1107">
        <f>IF(C79=0,0,IF(C107=0,"-","4,2x19"))</f>
        <v>0</v>
      </c>
      <c r="C107" s="1123">
        <f>C97*2+C98*4</f>
        <v>0</v>
      </c>
      <c r="D107" s="1107">
        <f>IF(E79=0,0,IF(E107=0,"-","4,2x19"))</f>
        <v>0</v>
      </c>
      <c r="E107" s="1123">
        <f>E97*2+E98*4</f>
        <v>0</v>
      </c>
      <c r="F107" s="1107">
        <f>IF(G79=0,0,IF(G107=0,"-","4,2x19"))</f>
        <v>0</v>
      </c>
      <c r="G107" s="1123">
        <f>G97*2+G98*4</f>
        <v>0</v>
      </c>
      <c r="H107" s="1107">
        <f>IF(I79=0,0,IF(I107=0,"-","4,2x19"))</f>
        <v>0</v>
      </c>
      <c r="I107" s="1103">
        <f>I97*2+I98*4</f>
        <v>0</v>
      </c>
      <c r="K107" s="1128"/>
      <c r="R107" s="1126"/>
      <c r="S107" s="1085"/>
      <c r="T107" s="1085"/>
      <c r="U107" s="1085"/>
      <c r="V107" s="1085"/>
      <c r="W107" s="1085"/>
      <c r="X107" s="1085"/>
      <c r="Y107" s="1085"/>
      <c r="Z107" s="1135"/>
      <c r="AA107" s="1128"/>
      <c r="AB107" s="1112"/>
      <c r="AC107" s="1112"/>
      <c r="AD107" s="1112"/>
    </row>
    <row r="108" spans="1:30" ht="16.5" customHeight="1" x14ac:dyDescent="0.2">
      <c r="A108" s="1100" t="s">
        <v>1045</v>
      </c>
      <c r="B108" s="1101">
        <f>B98</f>
        <v>0</v>
      </c>
      <c r="C108" s="1102">
        <f>IF(C55=0,0,VLOOKUP(B15,Данные1!$A$134:$AP$151,42,FALSE))</f>
        <v>0</v>
      </c>
      <c r="D108" s="1101">
        <f>D98</f>
        <v>0</v>
      </c>
      <c r="E108" s="1102">
        <f>IF(E56=0,0,VLOOKUP(D15,Данные1!$A$134:$AP$151,42,FALSE))</f>
        <v>0</v>
      </c>
      <c r="F108" s="1101">
        <f>F98</f>
        <v>0</v>
      </c>
      <c r="G108" s="1102">
        <f>IF(G57=0,0,VLOOKUP(F15,Данные1!$A$134:$AP$151,42,FALSE))</f>
        <v>0</v>
      </c>
      <c r="H108" s="1101">
        <f>H98</f>
        <v>0</v>
      </c>
      <c r="I108" s="1103">
        <f>IF(I58=0,0,VLOOKUP(H15,Данные1!$A$134:$AP$151,42,FALSE))</f>
        <v>0</v>
      </c>
      <c r="K108" s="1128"/>
      <c r="R108" s="1126"/>
      <c r="S108" s="1085"/>
      <c r="T108" s="1085"/>
      <c r="U108" s="1085"/>
      <c r="V108" s="1085"/>
      <c r="W108" s="1085"/>
      <c r="X108" s="1085"/>
      <c r="Y108" s="1085"/>
      <c r="Z108" s="1135"/>
      <c r="AA108" s="1128"/>
      <c r="AB108" s="1112"/>
      <c r="AC108" s="1112"/>
      <c r="AD108" s="1112"/>
    </row>
    <row r="109" spans="1:30" ht="16.5" customHeight="1" x14ac:dyDescent="0.2">
      <c r="A109" s="1100" t="s">
        <v>1046</v>
      </c>
      <c r="B109" s="1101">
        <f>B98</f>
        <v>0</v>
      </c>
      <c r="C109" s="1102">
        <f>IF(C55=0,0,VLOOKUP(B15,Данные1!$A$134:$AP$151,42,FALSE))</f>
        <v>0</v>
      </c>
      <c r="D109" s="1101">
        <f>D98</f>
        <v>0</v>
      </c>
      <c r="E109" s="1102">
        <f>IF(E56=0,0,VLOOKUP(D15,Данные1!$A$134:$AP$151,42,FALSE))</f>
        <v>0</v>
      </c>
      <c r="F109" s="1101">
        <f>F98</f>
        <v>0</v>
      </c>
      <c r="G109" s="1102">
        <f>IF(G57=0,0,VLOOKUP(F15,Данные1!$A$134:$AP$151,42,FALSE))</f>
        <v>0</v>
      </c>
      <c r="H109" s="1101">
        <f>H98</f>
        <v>0</v>
      </c>
      <c r="I109" s="1103">
        <f>IF(I58=0,0,VLOOKUP(H15,Данные1!$A$134:$AP$151,42,FALSE))</f>
        <v>0</v>
      </c>
      <c r="K109" s="1128"/>
      <c r="R109" s="1126"/>
      <c r="S109" s="1085"/>
      <c r="T109" s="1085"/>
      <c r="U109" s="1085"/>
      <c r="V109" s="1085"/>
      <c r="W109" s="1085"/>
      <c r="X109" s="1085"/>
      <c r="Y109" s="1085"/>
      <c r="Z109" s="1135"/>
      <c r="AA109" s="1128"/>
      <c r="AB109" s="1112"/>
      <c r="AC109" s="1112"/>
      <c r="AD109" s="1112"/>
    </row>
    <row r="110" spans="1:30" ht="16.5" customHeight="1" x14ac:dyDescent="0.2">
      <c r="A110" s="1095" t="s">
        <v>993</v>
      </c>
      <c r="B110" s="1114"/>
      <c r="C110" s="1115"/>
      <c r="D110" s="1118"/>
      <c r="E110" s="1115"/>
      <c r="F110" s="1118"/>
      <c r="G110" s="1115"/>
      <c r="H110" s="1118"/>
      <c r="I110" s="1114"/>
      <c r="J110" s="1129"/>
      <c r="K110" s="1128"/>
    </row>
    <row r="111" spans="1:30" ht="16.5" customHeight="1" x14ac:dyDescent="0.2">
      <c r="A111" s="1109" t="s">
        <v>1048</v>
      </c>
      <c r="B111" s="1107" t="s">
        <v>1066</v>
      </c>
      <c r="C111" s="1102">
        <f>C43+C78+C106</f>
        <v>0</v>
      </c>
      <c r="D111" s="1107" t="s">
        <v>1067</v>
      </c>
      <c r="E111" s="1102">
        <f>E43+E78+E106</f>
        <v>0</v>
      </c>
      <c r="F111" s="1107" t="s">
        <v>1067</v>
      </c>
      <c r="G111" s="1102">
        <f>G43+G78+G106</f>
        <v>0</v>
      </c>
      <c r="H111" s="1107" t="s">
        <v>1067</v>
      </c>
      <c r="I111" s="1101">
        <f>I43+I78+I106</f>
        <v>0</v>
      </c>
      <c r="J111" s="1129"/>
      <c r="K111" s="1128"/>
    </row>
    <row r="112" spans="1:30" ht="16.5" customHeight="1" x14ac:dyDescent="0.2">
      <c r="A112" s="1100" t="s">
        <v>982</v>
      </c>
      <c r="B112" s="1107" t="s">
        <v>1067</v>
      </c>
      <c r="C112" s="1102">
        <f>C44</f>
        <v>0</v>
      </c>
      <c r="D112" s="1107" t="s">
        <v>1067</v>
      </c>
      <c r="E112" s="1102">
        <f>E44</f>
        <v>0</v>
      </c>
      <c r="F112" s="1107" t="s">
        <v>1067</v>
      </c>
      <c r="G112" s="1102">
        <f>G44</f>
        <v>0</v>
      </c>
      <c r="H112" s="1107" t="s">
        <v>1067</v>
      </c>
      <c r="I112" s="1101">
        <f>I44</f>
        <v>0</v>
      </c>
      <c r="J112" s="1129"/>
      <c r="K112" s="1128"/>
    </row>
    <row r="113" spans="1:11" ht="16.5" customHeight="1" x14ac:dyDescent="0.2">
      <c r="A113" s="1100" t="s">
        <v>1065</v>
      </c>
      <c r="B113" s="1107" t="s">
        <v>1068</v>
      </c>
      <c r="C113" s="1123">
        <f>C105</f>
        <v>0</v>
      </c>
      <c r="D113" s="1107" t="s">
        <v>1068</v>
      </c>
      <c r="E113" s="1123">
        <f>E105</f>
        <v>0</v>
      </c>
      <c r="F113" s="1107" t="s">
        <v>1068</v>
      </c>
      <c r="G113" s="1123">
        <f>G105</f>
        <v>0</v>
      </c>
      <c r="H113" s="1107" t="s">
        <v>1068</v>
      </c>
      <c r="I113" s="1101">
        <f>I105</f>
        <v>0</v>
      </c>
      <c r="J113" s="1129"/>
      <c r="K113" s="1128"/>
    </row>
    <row r="114" spans="1:11" s="1125" customFormat="1" ht="16.5" customHeight="1" x14ac:dyDescent="0.2">
      <c r="A114" s="1100" t="s">
        <v>996</v>
      </c>
      <c r="B114" s="1107" t="s">
        <v>1069</v>
      </c>
      <c r="C114" s="1102">
        <f>C45</f>
        <v>0</v>
      </c>
      <c r="D114" s="1107" t="s">
        <v>1069</v>
      </c>
      <c r="E114" s="1102">
        <f>E45</f>
        <v>0</v>
      </c>
      <c r="F114" s="1107" t="s">
        <v>1069</v>
      </c>
      <c r="G114" s="1102">
        <f>G45</f>
        <v>0</v>
      </c>
      <c r="H114" s="1107" t="s">
        <v>1069</v>
      </c>
      <c r="I114" s="1101">
        <f>I45</f>
        <v>0</v>
      </c>
      <c r="J114" s="1169"/>
      <c r="K114" s="1139"/>
    </row>
    <row r="115" spans="1:11" s="1125" customFormat="1" ht="16.5" customHeight="1" x14ac:dyDescent="0.2">
      <c r="A115" s="1100" t="s">
        <v>998</v>
      </c>
      <c r="B115" s="1107"/>
      <c r="C115" s="1102">
        <f>C46</f>
        <v>0</v>
      </c>
      <c r="D115" s="1107"/>
      <c r="E115" s="1102">
        <f>E46</f>
        <v>0</v>
      </c>
      <c r="F115" s="1107"/>
      <c r="G115" s="1102">
        <f>G46</f>
        <v>0</v>
      </c>
      <c r="H115" s="1107"/>
      <c r="I115" s="1101">
        <f>I46</f>
        <v>0</v>
      </c>
      <c r="J115" s="1169"/>
      <c r="K115" s="1139"/>
    </row>
    <row r="116" spans="1:11" ht="12.75" customHeight="1" x14ac:dyDescent="0.2">
      <c r="A116" s="1126"/>
      <c r="B116" s="1127"/>
      <c r="C116" s="1128"/>
      <c r="D116" s="1128"/>
      <c r="E116" s="1128"/>
      <c r="F116" s="1128"/>
      <c r="G116" s="1128"/>
      <c r="H116" s="1128"/>
      <c r="I116" s="1128"/>
      <c r="J116" s="1129"/>
      <c r="K116" s="1128"/>
    </row>
    <row r="117" spans="1:11" ht="12.75" customHeight="1" x14ac:dyDescent="0.2">
      <c r="A117" s="1129"/>
      <c r="B117" s="1127"/>
      <c r="C117" s="1128"/>
      <c r="D117" s="1128"/>
      <c r="E117" s="1128"/>
      <c r="F117" s="1128"/>
      <c r="G117" s="1128"/>
      <c r="H117" s="1128"/>
      <c r="I117" s="1128"/>
      <c r="J117" s="1129"/>
      <c r="K117" s="1128"/>
    </row>
    <row r="118" spans="1:11" ht="19.5" customHeight="1" x14ac:dyDescent="0.2">
      <c r="A118" s="2504" t="s">
        <v>999</v>
      </c>
      <c r="B118" s="2504"/>
      <c r="C118" s="2504"/>
      <c r="D118" s="2504"/>
      <c r="E118" s="2504"/>
      <c r="F118" s="2504"/>
      <c r="G118" s="2504"/>
      <c r="H118" s="2504"/>
      <c r="I118" s="2504"/>
      <c r="J118" s="1129"/>
      <c r="K118" s="1128"/>
    </row>
    <row r="119" spans="1:11" ht="16.5" customHeight="1" x14ac:dyDescent="0.2">
      <c r="A119" s="2518" t="s">
        <v>1000</v>
      </c>
      <c r="B119" s="2518"/>
      <c r="C119" s="2518"/>
      <c r="D119" s="2518"/>
      <c r="E119" s="2518"/>
      <c r="F119" s="2518"/>
      <c r="G119" s="2518"/>
      <c r="H119" s="2518"/>
      <c r="I119" s="2518"/>
      <c r="J119" s="1126"/>
    </row>
    <row r="120" spans="1:11" ht="12.75" customHeight="1" x14ac:dyDescent="0.2">
      <c r="A120" s="2519" t="s">
        <v>1070</v>
      </c>
      <c r="B120" s="2519"/>
      <c r="C120" s="2519"/>
      <c r="D120" s="2519"/>
      <c r="E120" s="2519"/>
      <c r="F120" s="2519"/>
      <c r="G120" s="2519"/>
      <c r="H120" s="2519"/>
      <c r="I120" s="2519"/>
      <c r="J120" s="1126"/>
    </row>
    <row r="121" spans="1:11" ht="12.75" customHeight="1" x14ac:dyDescent="0.2">
      <c r="A121" s="2519"/>
      <c r="B121" s="2519"/>
      <c r="C121" s="2519"/>
      <c r="D121" s="2519"/>
      <c r="E121" s="2519"/>
      <c r="F121" s="2519"/>
      <c r="G121" s="2519"/>
      <c r="H121" s="2519"/>
      <c r="I121" s="2519"/>
      <c r="K121" s="1158"/>
    </row>
    <row r="122" spans="1:11" ht="12.75" customHeight="1" x14ac:dyDescent="0.2">
      <c r="A122" s="2519"/>
      <c r="B122" s="2519"/>
      <c r="C122" s="2519"/>
      <c r="D122" s="2519"/>
      <c r="E122" s="2519"/>
      <c r="F122" s="2519"/>
      <c r="G122" s="2519"/>
      <c r="H122" s="2519"/>
      <c r="I122" s="2519"/>
    </row>
    <row r="123" spans="1:11" x14ac:dyDescent="0.2">
      <c r="A123" s="2519"/>
      <c r="B123" s="2519"/>
      <c r="C123" s="2519"/>
      <c r="D123" s="2519"/>
      <c r="E123" s="2519"/>
      <c r="F123" s="2519"/>
      <c r="G123" s="2519"/>
      <c r="H123" s="2519"/>
      <c r="I123" s="2519"/>
    </row>
    <row r="124" spans="1:11" x14ac:dyDescent="0.2">
      <c r="A124" s="2519"/>
      <c r="B124" s="2519"/>
      <c r="C124" s="2519"/>
      <c r="D124" s="2519"/>
      <c r="E124" s="2519"/>
      <c r="F124" s="2519"/>
      <c r="G124" s="2519"/>
      <c r="H124" s="2519"/>
      <c r="I124" s="2519"/>
    </row>
    <row r="125" spans="1:11" x14ac:dyDescent="0.2">
      <c r="A125" s="2520" t="s">
        <v>1002</v>
      </c>
      <c r="B125" s="2520"/>
      <c r="C125" s="2520"/>
      <c r="D125" s="2520"/>
      <c r="E125" s="2520"/>
      <c r="F125" s="2520"/>
      <c r="G125" s="2520"/>
      <c r="H125" s="2520"/>
      <c r="I125" s="2520"/>
    </row>
    <row r="126" spans="1:11" ht="12.75" customHeight="1" x14ac:dyDescent="0.2">
      <c r="A126" s="2520"/>
      <c r="B126" s="2520"/>
      <c r="C126" s="2520"/>
      <c r="D126" s="2520"/>
      <c r="E126" s="2520"/>
      <c r="F126" s="2520"/>
      <c r="G126" s="2520"/>
      <c r="H126" s="2520"/>
      <c r="I126" s="2520"/>
    </row>
    <row r="127" spans="1:11" ht="12.75" customHeight="1" x14ac:dyDescent="0.2">
      <c r="A127" s="2520" t="s">
        <v>1071</v>
      </c>
      <c r="B127" s="2520"/>
      <c r="C127" s="2520"/>
      <c r="D127" s="2520"/>
      <c r="E127" s="2520"/>
      <c r="F127" s="2520"/>
      <c r="G127" s="2520"/>
      <c r="H127" s="2520"/>
      <c r="I127" s="2520"/>
    </row>
    <row r="128" spans="1:11" ht="12.75" customHeight="1" x14ac:dyDescent="0.2">
      <c r="A128" s="2520"/>
      <c r="B128" s="2520"/>
      <c r="C128" s="2520"/>
      <c r="D128" s="2520"/>
      <c r="E128" s="2520"/>
      <c r="F128" s="2520"/>
      <c r="G128" s="2520"/>
      <c r="H128" s="2520"/>
      <c r="I128" s="2520"/>
    </row>
    <row r="129" spans="1:9" ht="12.75" customHeight="1" x14ac:dyDescent="0.2">
      <c r="A129" s="2520"/>
      <c r="B129" s="2520"/>
      <c r="C129" s="2520"/>
      <c r="D129" s="2520"/>
      <c r="E129" s="2520"/>
      <c r="F129" s="2520"/>
      <c r="G129" s="2520"/>
      <c r="H129" s="2520"/>
      <c r="I129" s="2520"/>
    </row>
    <row r="130" spans="1:9" ht="12.75" customHeight="1" x14ac:dyDescent="0.2">
      <c r="A130" s="2519" t="s">
        <v>1006</v>
      </c>
      <c r="B130" s="2519"/>
      <c r="C130" s="2519"/>
      <c r="D130" s="2519"/>
      <c r="E130" s="2519"/>
      <c r="F130" s="2519"/>
      <c r="G130" s="2519"/>
      <c r="H130" s="2519"/>
      <c r="I130" s="2519"/>
    </row>
    <row r="131" spans="1:9" ht="12.75" customHeight="1" x14ac:dyDescent="0.2">
      <c r="A131" s="2519"/>
      <c r="B131" s="2519"/>
      <c r="C131" s="2519"/>
      <c r="D131" s="2519"/>
      <c r="E131" s="2519"/>
      <c r="F131" s="2519"/>
      <c r="G131" s="2519"/>
      <c r="H131" s="2519"/>
      <c r="I131" s="2519"/>
    </row>
    <row r="132" spans="1:9" ht="12.75" customHeight="1" x14ac:dyDescent="0.2">
      <c r="A132" s="2517" t="s">
        <v>1007</v>
      </c>
      <c r="B132" s="2517"/>
      <c r="C132" s="2517"/>
      <c r="D132" s="2517"/>
      <c r="E132" s="2517"/>
      <c r="F132" s="2517"/>
      <c r="G132" s="2517"/>
      <c r="H132" s="2517"/>
      <c r="I132" s="2517"/>
    </row>
    <row r="133" spans="1:9" ht="12.75" customHeight="1" x14ac:dyDescent="0.2">
      <c r="A133" s="2517"/>
      <c r="B133" s="2517"/>
      <c r="C133" s="2517"/>
      <c r="D133" s="2517"/>
      <c r="E133" s="2517"/>
      <c r="F133" s="2517"/>
      <c r="G133" s="2517"/>
      <c r="H133" s="2517"/>
      <c r="I133" s="2517"/>
    </row>
    <row r="134" spans="1:9" x14ac:dyDescent="0.2">
      <c r="A134" s="2517"/>
      <c r="B134" s="2517"/>
      <c r="C134" s="2517"/>
      <c r="D134" s="2517"/>
      <c r="E134" s="2517"/>
      <c r="F134" s="2517"/>
      <c r="G134" s="2517"/>
      <c r="H134" s="2517"/>
      <c r="I134" s="2517"/>
    </row>
    <row r="135" spans="1:9" x14ac:dyDescent="0.2">
      <c r="A135" s="2517"/>
      <c r="B135" s="2517"/>
      <c r="C135" s="2517"/>
      <c r="D135" s="2517"/>
      <c r="E135" s="2517"/>
      <c r="F135" s="2517"/>
      <c r="G135" s="2517"/>
      <c r="H135" s="2517"/>
      <c r="I135" s="2517"/>
    </row>
    <row r="136" spans="1:9" x14ac:dyDescent="0.2">
      <c r="A136" s="2517"/>
      <c r="B136" s="2517"/>
      <c r="C136" s="2517"/>
      <c r="D136" s="2517"/>
      <c r="E136" s="2517"/>
      <c r="F136" s="2517"/>
      <c r="G136" s="2517"/>
      <c r="H136" s="2517"/>
      <c r="I136" s="2517"/>
    </row>
    <row r="137" spans="1:9" x14ac:dyDescent="0.2">
      <c r="A137" s="2517"/>
      <c r="B137" s="2517"/>
      <c r="C137" s="2517"/>
      <c r="D137" s="2517"/>
      <c r="E137" s="2517"/>
      <c r="F137" s="2517"/>
      <c r="G137" s="2517"/>
      <c r="H137" s="2517"/>
      <c r="I137" s="2517"/>
    </row>
    <row r="138" spans="1:9" x14ac:dyDescent="0.2">
      <c r="A138" s="2517"/>
      <c r="B138" s="2517"/>
      <c r="C138" s="2517"/>
      <c r="D138" s="2517"/>
      <c r="E138" s="2517"/>
      <c r="F138" s="2517"/>
      <c r="G138" s="2517"/>
      <c r="H138" s="2517"/>
      <c r="I138" s="2517"/>
    </row>
    <row r="139" spans="1:9" x14ac:dyDescent="0.2">
      <c r="A139" s="2517"/>
      <c r="B139" s="2517"/>
      <c r="C139" s="2517"/>
      <c r="D139" s="2517"/>
      <c r="E139" s="2517"/>
      <c r="F139" s="2517"/>
      <c r="G139" s="2517"/>
      <c r="H139" s="2517"/>
      <c r="I139" s="2517"/>
    </row>
    <row r="140" spans="1:9" x14ac:dyDescent="0.2">
      <c r="A140" s="2517"/>
      <c r="B140" s="2517"/>
      <c r="C140" s="2517"/>
      <c r="D140" s="2517"/>
      <c r="E140" s="2517"/>
      <c r="F140" s="2517"/>
      <c r="G140" s="2517"/>
      <c r="H140" s="2517"/>
      <c r="I140" s="2517"/>
    </row>
    <row r="141" spans="1:9" x14ac:dyDescent="0.2">
      <c r="A141" s="2517"/>
      <c r="B141" s="2517"/>
      <c r="C141" s="2517"/>
      <c r="D141" s="2517"/>
      <c r="E141" s="2517"/>
      <c r="F141" s="2517"/>
      <c r="G141" s="2517"/>
      <c r="H141" s="2517"/>
      <c r="I141" s="2517"/>
    </row>
    <row r="142" spans="1:9" x14ac:dyDescent="0.2">
      <c r="A142" s="2517"/>
      <c r="B142" s="2517"/>
      <c r="C142" s="2517"/>
      <c r="D142" s="2517"/>
      <c r="E142" s="2517"/>
      <c r="F142" s="2517"/>
      <c r="G142" s="2517"/>
      <c r="H142" s="2517"/>
      <c r="I142" s="2517"/>
    </row>
    <row r="143" spans="1:9" x14ac:dyDescent="0.2">
      <c r="A143" s="2517"/>
      <c r="B143" s="2517"/>
      <c r="C143" s="2517"/>
      <c r="D143" s="2517"/>
      <c r="E143" s="2517"/>
      <c r="F143" s="2517"/>
      <c r="G143" s="2517"/>
      <c r="H143" s="2517"/>
      <c r="I143" s="2517"/>
    </row>
    <row r="144" spans="1:9" x14ac:dyDescent="0.2">
      <c r="A144" s="2517"/>
      <c r="B144" s="2517"/>
      <c r="C144" s="2517"/>
      <c r="D144" s="2517"/>
      <c r="E144" s="2517"/>
      <c r="F144" s="2517"/>
      <c r="G144" s="2517"/>
      <c r="H144" s="2517"/>
      <c r="I144" s="2517"/>
    </row>
    <row r="145" spans="1:11" x14ac:dyDescent="0.2">
      <c r="A145" s="2517"/>
      <c r="B145" s="2517"/>
      <c r="C145" s="2517"/>
      <c r="D145" s="2517"/>
      <c r="E145" s="2517"/>
      <c r="F145" s="2517"/>
      <c r="G145" s="2517"/>
      <c r="H145" s="2517"/>
      <c r="I145" s="2517"/>
    </row>
    <row r="146" spans="1:11" x14ac:dyDescent="0.2">
      <c r="A146" s="2517"/>
      <c r="B146" s="2517"/>
      <c r="C146" s="2517"/>
      <c r="D146" s="2517"/>
      <c r="E146" s="2517"/>
      <c r="F146" s="2517"/>
      <c r="G146" s="2517"/>
      <c r="H146" s="2517"/>
      <c r="I146" s="2517"/>
    </row>
    <row r="147" spans="1:11" x14ac:dyDescent="0.2">
      <c r="A147" s="2517"/>
      <c r="B147" s="2517"/>
      <c r="C147" s="2517"/>
      <c r="D147" s="2517"/>
      <c r="E147" s="2517"/>
      <c r="F147" s="2517"/>
      <c r="G147" s="2517"/>
      <c r="H147" s="2517"/>
      <c r="I147" s="2517"/>
    </row>
    <row r="148" spans="1:11" s="1161" customFormat="1" x14ac:dyDescent="0.2">
      <c r="A148" s="2517"/>
      <c r="B148" s="2517"/>
      <c r="C148" s="2517"/>
      <c r="D148" s="2517"/>
      <c r="E148" s="2517"/>
      <c r="F148" s="2517"/>
      <c r="G148" s="2517"/>
      <c r="H148" s="2517"/>
      <c r="I148" s="2517"/>
      <c r="J148" s="1162"/>
      <c r="K148" s="1162"/>
    </row>
    <row r="149" spans="1:11" s="1161" customFormat="1" x14ac:dyDescent="0.2">
      <c r="A149" s="2517"/>
      <c r="B149" s="2517"/>
      <c r="C149" s="2517"/>
      <c r="D149" s="2517"/>
      <c r="E149" s="2517"/>
      <c r="F149" s="2517"/>
      <c r="G149" s="2517"/>
      <c r="H149" s="2517"/>
      <c r="I149" s="2517"/>
      <c r="J149" s="1162"/>
      <c r="K149" s="1162"/>
    </row>
    <row r="150" spans="1:11" x14ac:dyDescent="0.2">
      <c r="A150" s="2517"/>
      <c r="B150" s="2517"/>
      <c r="C150" s="2517"/>
      <c r="D150" s="2517"/>
      <c r="E150" s="2517"/>
      <c r="F150" s="2517"/>
      <c r="G150" s="2517"/>
      <c r="H150" s="2517"/>
      <c r="I150" s="2517"/>
    </row>
    <row r="151" spans="1:11" s="1161" customFormat="1" x14ac:dyDescent="0.2">
      <c r="A151" s="2517"/>
      <c r="B151" s="2517"/>
      <c r="C151" s="2517"/>
      <c r="D151" s="2517"/>
      <c r="E151" s="2517"/>
      <c r="F151" s="2517"/>
      <c r="G151" s="2517"/>
      <c r="H151" s="2517"/>
      <c r="I151" s="2517"/>
      <c r="J151" s="1162"/>
      <c r="K151" s="1162"/>
    </row>
    <row r="152" spans="1:11" s="1161" customFormat="1" x14ac:dyDescent="0.2">
      <c r="A152" s="1164"/>
      <c r="B152" s="1165"/>
      <c r="C152" s="1165"/>
      <c r="D152" s="1162"/>
      <c r="E152" s="1162"/>
      <c r="F152" s="1162"/>
      <c r="G152" s="1162"/>
      <c r="H152" s="1163"/>
      <c r="I152" s="1162"/>
      <c r="J152" s="1162"/>
      <c r="K152" s="1162"/>
    </row>
    <row r="153" spans="1:11" s="1161" customFormat="1" hidden="1" x14ac:dyDescent="0.2">
      <c r="A153" s="1164"/>
      <c r="B153" s="1165"/>
      <c r="C153" s="1165"/>
      <c r="D153" s="1162"/>
      <c r="E153" s="1162"/>
      <c r="F153" s="1162"/>
      <c r="G153" s="1162"/>
      <c r="H153" s="1162"/>
      <c r="I153" s="1162"/>
      <c r="J153" s="1162"/>
      <c r="K153" s="1162"/>
    </row>
    <row r="154" spans="1:11" s="1161" customFormat="1" hidden="1" x14ac:dyDescent="0.2">
      <c r="A154" s="1164"/>
      <c r="B154" s="1165"/>
      <c r="C154" s="1165"/>
      <c r="D154" s="1162"/>
      <c r="E154" s="1162"/>
      <c r="F154" s="1162"/>
      <c r="G154" s="1162"/>
      <c r="H154" s="1162"/>
      <c r="I154" s="1162"/>
      <c r="J154" s="1162"/>
      <c r="K154" s="1162"/>
    </row>
    <row r="155" spans="1:11" s="1161" customFormat="1" hidden="1" x14ac:dyDescent="0.2">
      <c r="A155" s="1164"/>
      <c r="B155" s="1165"/>
      <c r="C155" s="1165"/>
      <c r="D155" s="1162"/>
      <c r="E155" s="1162"/>
      <c r="F155" s="1162"/>
      <c r="G155" s="1162"/>
      <c r="H155" s="1162"/>
      <c r="I155" s="1162"/>
      <c r="J155" s="1162"/>
      <c r="K155" s="1162"/>
    </row>
    <row r="156" spans="1:11" s="1161" customFormat="1" hidden="1" x14ac:dyDescent="0.2"/>
    <row r="157" spans="1:11" s="1161" customFormat="1" hidden="1" x14ac:dyDescent="0.2"/>
    <row r="158" spans="1:11" s="1161" customFormat="1" hidden="1" x14ac:dyDescent="0.2"/>
    <row r="159" spans="1:11" s="1161" customFormat="1" hidden="1" x14ac:dyDescent="0.2"/>
    <row r="160" spans="1:11" x14ac:dyDescent="0.2"/>
  </sheetData>
  <sheetProtection selectLockedCells="1" selectUnlockedCells="1"/>
  <mergeCells count="66">
    <mergeCell ref="A4:A5"/>
    <mergeCell ref="B4:I4"/>
    <mergeCell ref="B5:C5"/>
    <mergeCell ref="D5:E5"/>
    <mergeCell ref="F5:G5"/>
    <mergeCell ref="H5:I5"/>
    <mergeCell ref="B6:I6"/>
    <mergeCell ref="B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48:C48"/>
    <mergeCell ref="D48:E48"/>
    <mergeCell ref="F48:G48"/>
    <mergeCell ref="H48:I48"/>
    <mergeCell ref="B17:C17"/>
    <mergeCell ref="D17:E17"/>
    <mergeCell ref="F17:G17"/>
    <mergeCell ref="H17:I17"/>
    <mergeCell ref="A18:I18"/>
    <mergeCell ref="B19:I19"/>
    <mergeCell ref="A20:A21"/>
    <mergeCell ref="B20:C20"/>
    <mergeCell ref="D20:E20"/>
    <mergeCell ref="F20:G20"/>
    <mergeCell ref="H20:I20"/>
    <mergeCell ref="A132:I151"/>
    <mergeCell ref="A118:I118"/>
    <mergeCell ref="A119:I119"/>
    <mergeCell ref="A120:I124"/>
    <mergeCell ref="A125:I126"/>
    <mergeCell ref="A127:I129"/>
    <mergeCell ref="A130:I131"/>
  </mergeCells>
  <conditionalFormatting sqref="B7:I7">
    <cfRule type="expression" dxfId="1" priority="1">
      <formula>AND($B$6="ламель 125",$B$7="больше (50-80мм в зависимости от высоты забора)")</formula>
    </cfRule>
  </conditionalFormatting>
  <dataValidations count="12">
    <dataValidation type="list" allowBlank="1" showInputMessage="1" showErrorMessage="1" sqref="B8:I8" xr:uid="{7B536A45-51F0-4D85-9595-50F24851920D}">
      <formula1>Drop</formula1>
    </dataValidation>
    <dataValidation type="list" allowBlank="1" showInputMessage="1" showErrorMessage="1" sqref="B17:I17" xr:uid="{68B33225-BBF0-4A0D-9003-43DA5AC5D9FD}">
      <formula1>TexType</formula1>
    </dataValidation>
    <dataValidation type="list" allowBlank="1" showInputMessage="1" showErrorMessage="1" sqref="H16:I16" xr:uid="{39EEC314-A406-43C0-9766-095EF624D330}">
      <formula1>CEXUI</formula1>
    </dataValidation>
    <dataValidation type="list" allowBlank="1" showInputMessage="1" showErrorMessage="1" sqref="F16:G16" xr:uid="{62FC00ED-9DD3-4BEB-8E50-A8B875EE2CCE}">
      <formula1>IANCJ</formula1>
    </dataValidation>
    <dataValidation type="list" allowBlank="1" showInputMessage="1" showErrorMessage="1" sqref="D16:E16" xr:uid="{FFBA65C9-23B4-4031-BB66-1AAE00F5A90F}">
      <formula1>MUGNQ</formula1>
    </dataValidation>
    <dataValidation type="list" allowBlank="1" showInputMessage="1" showErrorMessage="1" sqref="B16:C16" xr:uid="{69BA03DA-4D6B-4206-B05A-8220D8FB1D3B}">
      <formula1>BTYPS</formula1>
    </dataValidation>
    <dataValidation type="list" allowBlank="1" showInputMessage="1" showErrorMessage="1" sqref="B15:I15" xr:uid="{2C8A79FB-373C-48B7-B93F-7ACD227F3F59}">
      <formula1>VNVOX</formula1>
    </dataValidation>
    <dataValidation type="list" allowBlank="1" showInputMessage="1" showErrorMessage="1" sqref="B14:I14" xr:uid="{E6CBA0D5-6CAB-4FEB-9121-DAF3B24D9D5E}">
      <formula1>RRWVS</formula1>
    </dataValidation>
    <dataValidation type="list" allowBlank="1" showInputMessage="1" showErrorMessage="1" sqref="B7:I7" xr:uid="{8568B759-DCD5-48E5-BBEB-8C10AB399D0A}">
      <formula1>INDIRECT($B$6)</formula1>
    </dataValidation>
    <dataValidation type="list" allowBlank="1" showInputMessage="1" showErrorMessage="1" sqref="B6:I6" xr:uid="{AA93750E-9CB3-48F3-84CC-6C32B47DE64F}">
      <formula1>CCCMT</formula1>
    </dataValidation>
    <dataValidation type="list" allowBlank="1" showInputMessage="1" showErrorMessage="1" sqref="B13 D13 F13 H13" xr:uid="{30190C6C-8ED0-44B7-8BAA-C54B3EB5AD00}">
      <formula1>"да, нет"</formula1>
    </dataValidation>
    <dataValidation type="decimal" operator="lessThanOrEqual" allowBlank="1" showInputMessage="1" showErrorMessage="1" sqref="H9 B9 D9 F9" xr:uid="{C8C1F3E5-F163-4296-B40F-5C04F3DE882C}">
      <formula1>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rstPageNumber="0" fitToHeight="2" orientation="portrait" r:id="rId1"/>
  <headerFooter scaleWithDoc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U83"/>
  <sheetViews>
    <sheetView showGridLines="0" zoomScale="55" zoomScaleNormal="55" zoomScaleSheetLayoutView="55" zoomScalePageLayoutView="25" workbookViewId="0">
      <selection activeCell="K2" sqref="K2:L2"/>
    </sheetView>
  </sheetViews>
  <sheetFormatPr defaultRowHeight="12.75" x14ac:dyDescent="0.2"/>
  <cols>
    <col min="1" max="1" width="24.7109375" style="1" customWidth="1"/>
    <col min="2" max="3" width="30.7109375" style="1" customWidth="1"/>
    <col min="4" max="4" width="40.7109375" style="1" customWidth="1"/>
    <col min="5" max="6" width="16.7109375" style="1" customWidth="1"/>
    <col min="7" max="7" width="30.7109375" style="3" customWidth="1"/>
    <col min="8" max="8" width="16.7109375" style="1" customWidth="1"/>
    <col min="9" max="12" width="18.7109375" style="1" customWidth="1"/>
    <col min="13" max="14" width="16.42578125" style="1" hidden="1" customWidth="1"/>
    <col min="15" max="15" width="15.42578125" style="1" hidden="1" customWidth="1"/>
    <col min="16" max="16" width="17.42578125" style="1" customWidth="1"/>
    <col min="17" max="17" width="9.140625" style="1"/>
    <col min="18" max="18" width="17.28515625" style="1" bestFit="1" customWidth="1"/>
    <col min="19" max="19" width="9.140625" style="1"/>
    <col min="20" max="20" width="17.28515625" style="1" bestFit="1" customWidth="1"/>
    <col min="21" max="16384" width="9.140625" style="1"/>
  </cols>
  <sheetData>
    <row r="1" spans="1:21" ht="75.75" customHeight="1" x14ac:dyDescent="0.2">
      <c r="B1" s="34"/>
      <c r="C1" s="34"/>
      <c r="F1" s="395"/>
      <c r="G1" s="1465"/>
      <c r="H1" s="1465"/>
      <c r="I1" s="1465"/>
      <c r="J1" s="1465"/>
      <c r="K1" s="1465"/>
      <c r="L1" s="1465"/>
      <c r="M1" s="34"/>
    </row>
    <row r="2" spans="1:21" ht="33" customHeight="1" x14ac:dyDescent="0.3">
      <c r="A2" s="5"/>
      <c r="B2" s="5"/>
      <c r="C2" s="5"/>
      <c r="D2" s="1312" t="s">
        <v>161</v>
      </c>
      <c r="E2" s="1312"/>
      <c r="F2" s="1312"/>
      <c r="G2" s="1312"/>
      <c r="H2" s="138"/>
      <c r="J2" s="141" t="s">
        <v>132</v>
      </c>
      <c r="K2" s="1477">
        <f>'Панельные ограждения GL (стр.1)'!N2</f>
        <v>46197</v>
      </c>
      <c r="L2" s="1477"/>
      <c r="M2" s="5"/>
    </row>
    <row r="3" spans="1:21" ht="90" customHeight="1" x14ac:dyDescent="0.3">
      <c r="A3" s="1430" t="s">
        <v>76</v>
      </c>
      <c r="B3" s="1430" t="s">
        <v>71</v>
      </c>
      <c r="C3" s="1430" t="s">
        <v>107</v>
      </c>
      <c r="D3" s="1430" t="s">
        <v>518</v>
      </c>
      <c r="E3" s="1430"/>
      <c r="F3" s="1430"/>
      <c r="G3" s="1430"/>
      <c r="H3" s="1430"/>
      <c r="I3" s="1493" t="s">
        <v>357</v>
      </c>
      <c r="J3" s="1494"/>
      <c r="K3" s="1494"/>
      <c r="L3" s="1495"/>
      <c r="M3" s="5"/>
    </row>
    <row r="4" spans="1:21" ht="30" customHeight="1" x14ac:dyDescent="0.3">
      <c r="A4" s="1430"/>
      <c r="B4" s="1430"/>
      <c r="C4" s="1430"/>
      <c r="D4" s="1430"/>
      <c r="E4" s="1430"/>
      <c r="F4" s="1430"/>
      <c r="G4" s="1430"/>
      <c r="H4" s="1430"/>
      <c r="I4" s="1518" t="s">
        <v>82</v>
      </c>
      <c r="J4" s="1519"/>
      <c r="K4" s="1519"/>
      <c r="L4" s="1520"/>
      <c r="M4" s="5"/>
    </row>
    <row r="5" spans="1:21" ht="24.95" customHeight="1" x14ac:dyDescent="0.3">
      <c r="A5" s="1492"/>
      <c r="B5" s="1496" t="s">
        <v>424</v>
      </c>
      <c r="C5" s="1427">
        <v>2</v>
      </c>
      <c r="D5" s="1466" t="s">
        <v>1372</v>
      </c>
      <c r="E5" s="1467"/>
      <c r="F5" s="1467"/>
      <c r="G5" s="1467"/>
      <c r="H5" s="1468"/>
      <c r="I5" s="1521" t="s">
        <v>350</v>
      </c>
      <c r="J5" s="1522"/>
      <c r="K5" s="1522"/>
      <c r="L5" s="1523"/>
      <c r="M5" s="5"/>
    </row>
    <row r="6" spans="1:21" ht="24.95" customHeight="1" x14ac:dyDescent="0.3">
      <c r="A6" s="1492"/>
      <c r="B6" s="1496"/>
      <c r="C6" s="1428"/>
      <c r="D6" s="1469"/>
      <c r="E6" s="1470"/>
      <c r="F6" s="1470"/>
      <c r="G6" s="1470"/>
      <c r="H6" s="1471"/>
      <c r="I6" s="1475" t="s">
        <v>56</v>
      </c>
      <c r="J6" s="1484"/>
      <c r="K6" s="1475" t="s">
        <v>60</v>
      </c>
      <c r="L6" s="1476"/>
      <c r="M6" s="5"/>
    </row>
    <row r="7" spans="1:21" ht="30" customHeight="1" x14ac:dyDescent="0.3">
      <c r="A7" s="1492"/>
      <c r="B7" s="1496"/>
      <c r="C7" s="1428"/>
      <c r="D7" s="1469"/>
      <c r="E7" s="1470"/>
      <c r="F7" s="1470"/>
      <c r="G7" s="1470"/>
      <c r="H7" s="1471"/>
      <c r="I7" s="397" t="s">
        <v>346</v>
      </c>
      <c r="J7" s="398" t="s">
        <v>347</v>
      </c>
      <c r="K7" s="397" t="s">
        <v>346</v>
      </c>
      <c r="L7" s="398" t="s">
        <v>347</v>
      </c>
      <c r="M7" s="5"/>
    </row>
    <row r="8" spans="1:21" ht="50.1" customHeight="1" x14ac:dyDescent="0.3">
      <c r="A8" s="1492"/>
      <c r="B8" s="1496"/>
      <c r="C8" s="1429"/>
      <c r="D8" s="1472"/>
      <c r="E8" s="1473"/>
      <c r="F8" s="1473"/>
      <c r="G8" s="1473"/>
      <c r="H8" s="1474"/>
      <c r="I8" s="461">
        <f>(I31*2+I38+I45*2+I52*44)/2.5</f>
        <v>1386.16</v>
      </c>
      <c r="J8" s="462">
        <f>(I31*2+I39+I45*2+I52*44)/2.5</f>
        <v>1519.3600000000001</v>
      </c>
      <c r="K8" s="461">
        <f>(I32*2+N38+I46*2+I52*44)/2.5</f>
        <v>1629.3600000000001</v>
      </c>
      <c r="L8" s="462">
        <f>(I32*2+N39+I46*2+I52*44)/2.5</f>
        <v>1779.36</v>
      </c>
      <c r="M8" s="5"/>
      <c r="N8" s="337"/>
      <c r="O8" s="337"/>
      <c r="P8" s="337"/>
      <c r="Q8" s="337"/>
      <c r="R8" s="337"/>
      <c r="S8" s="337"/>
      <c r="T8" s="337"/>
      <c r="U8" s="95"/>
    </row>
    <row r="9" spans="1:21" ht="24.95" customHeight="1" x14ac:dyDescent="0.3">
      <c r="A9" s="1536"/>
      <c r="B9" s="1534" t="s">
        <v>1373</v>
      </c>
      <c r="C9" s="1532">
        <v>2</v>
      </c>
      <c r="D9" s="1526" t="s">
        <v>1374</v>
      </c>
      <c r="E9" s="1527"/>
      <c r="F9" s="1527"/>
      <c r="G9" s="1527"/>
      <c r="H9" s="1528"/>
      <c r="I9" s="1538" t="s">
        <v>60</v>
      </c>
      <c r="J9" s="1538"/>
      <c r="K9" s="1538"/>
      <c r="L9" s="1538"/>
      <c r="M9" s="5"/>
      <c r="N9" s="337"/>
      <c r="O9" s="337"/>
      <c r="P9" s="337"/>
      <c r="Q9" s="337"/>
      <c r="R9" s="337"/>
      <c r="S9" s="337"/>
      <c r="T9" s="337"/>
      <c r="U9" s="95"/>
    </row>
    <row r="10" spans="1:21" ht="75" customHeight="1" x14ac:dyDescent="0.3">
      <c r="A10" s="1537"/>
      <c r="B10" s="1535"/>
      <c r="C10" s="1533"/>
      <c r="D10" s="1529"/>
      <c r="E10" s="1530"/>
      <c r="F10" s="1530"/>
      <c r="G10" s="1530"/>
      <c r="H10" s="1531"/>
      <c r="I10" s="1539">
        <f>(I35*2+I43+I47*2+I52*44)/2.5</f>
        <v>1322.96</v>
      </c>
      <c r="J10" s="1540"/>
      <c r="K10" s="1541" t="s">
        <v>527</v>
      </c>
      <c r="L10" s="1542"/>
      <c r="M10" s="5"/>
      <c r="N10" s="337"/>
      <c r="O10" s="337"/>
      <c r="P10" s="337"/>
      <c r="Q10" s="337"/>
      <c r="R10" s="337"/>
      <c r="S10" s="337"/>
      <c r="T10" s="337"/>
      <c r="U10" s="95"/>
    </row>
    <row r="11" spans="1:21" ht="35.1" customHeight="1" x14ac:dyDescent="0.3">
      <c r="A11" s="1431"/>
      <c r="B11" s="1432"/>
      <c r="C11" s="1433"/>
      <c r="D11" s="1543" t="s">
        <v>517</v>
      </c>
      <c r="E11" s="1543"/>
      <c r="F11" s="1543"/>
      <c r="G11" s="1543"/>
      <c r="H11" s="1543"/>
      <c r="I11" s="1545" t="s">
        <v>349</v>
      </c>
      <c r="J11" s="1546"/>
      <c r="K11" s="1546"/>
      <c r="L11" s="1547"/>
      <c r="M11" s="5"/>
      <c r="N11" s="337"/>
      <c r="O11" s="337"/>
      <c r="P11" s="337"/>
      <c r="Q11" s="337"/>
      <c r="R11" s="337"/>
      <c r="S11" s="337"/>
      <c r="T11" s="337"/>
      <c r="U11" s="95"/>
    </row>
    <row r="12" spans="1:21" ht="35.1" customHeight="1" x14ac:dyDescent="0.3">
      <c r="A12" s="1434"/>
      <c r="B12" s="1435"/>
      <c r="C12" s="1436"/>
      <c r="D12" s="1543"/>
      <c r="E12" s="1543"/>
      <c r="F12" s="1543"/>
      <c r="G12" s="1543"/>
      <c r="H12" s="1543"/>
      <c r="I12" s="1485" t="s">
        <v>346</v>
      </c>
      <c r="J12" s="1486"/>
      <c r="K12" s="1475" t="s">
        <v>347</v>
      </c>
      <c r="L12" s="1476"/>
      <c r="M12" s="5"/>
      <c r="N12" s="337"/>
      <c r="O12" s="337"/>
      <c r="P12" s="337"/>
      <c r="Q12" s="337"/>
      <c r="R12" s="337"/>
      <c r="S12" s="337"/>
      <c r="T12" s="337"/>
      <c r="U12" s="95"/>
    </row>
    <row r="13" spans="1:21" ht="60" customHeight="1" x14ac:dyDescent="0.3">
      <c r="A13" s="1402"/>
      <c r="B13" s="1496" t="s">
        <v>419</v>
      </c>
      <c r="C13" s="463">
        <v>1.65</v>
      </c>
      <c r="D13" s="1544" t="s">
        <v>421</v>
      </c>
      <c r="E13" s="1544"/>
      <c r="F13" s="1544"/>
      <c r="G13" s="1544"/>
      <c r="H13" s="1544"/>
      <c r="I13" s="1487">
        <f>(I19*1.376*3+I24*2+I26*2+I28+I52*27)/2.5</f>
        <v>3622.3679999999999</v>
      </c>
      <c r="J13" s="1488"/>
      <c r="K13" s="1487">
        <f>(I19*1.376*3+I24*2+I27*2+I28+I52*27)/2.5</f>
        <v>3811.1680000000001</v>
      </c>
      <c r="L13" s="1489"/>
      <c r="M13" s="5"/>
      <c r="N13" s="337"/>
      <c r="O13" s="337"/>
      <c r="P13" s="337"/>
      <c r="Q13" s="337"/>
      <c r="R13" s="337"/>
      <c r="S13" s="337"/>
      <c r="T13" s="337"/>
      <c r="U13" s="95"/>
    </row>
    <row r="14" spans="1:21" ht="60" customHeight="1" x14ac:dyDescent="0.3">
      <c r="A14" s="1402"/>
      <c r="B14" s="1496"/>
      <c r="C14" s="464">
        <v>2</v>
      </c>
      <c r="D14" s="1544"/>
      <c r="E14" s="1544"/>
      <c r="F14" s="1544"/>
      <c r="G14" s="1544"/>
      <c r="H14" s="1544"/>
      <c r="I14" s="1482">
        <f>(I19*1.6942*3+I24*2+I26*2+I28+I52*27)/2.5</f>
        <v>4000.3896000000009</v>
      </c>
      <c r="J14" s="1490"/>
      <c r="K14" s="1482">
        <f>(I19*1.6942*3+I24*2+I27*2+I28+I52*27)/2.5</f>
        <v>4189.1896000000006</v>
      </c>
      <c r="L14" s="1483"/>
      <c r="M14" s="5"/>
      <c r="N14" s="337"/>
      <c r="O14" s="337"/>
      <c r="P14" s="337"/>
      <c r="Q14" s="337"/>
      <c r="R14" s="337"/>
      <c r="S14" s="337"/>
      <c r="T14" s="337"/>
      <c r="U14" s="95"/>
    </row>
    <row r="15" spans="1:21" ht="69.95" customHeight="1" x14ac:dyDescent="0.3">
      <c r="A15" s="1442"/>
      <c r="B15" s="1524" t="s">
        <v>420</v>
      </c>
      <c r="C15" s="465">
        <v>2</v>
      </c>
      <c r="D15" s="1466" t="s">
        <v>422</v>
      </c>
      <c r="E15" s="1467"/>
      <c r="F15" s="1467"/>
      <c r="G15" s="1467"/>
      <c r="H15" s="1468"/>
      <c r="I15" s="1487">
        <f>(I19*1.376*3+I24*3+I23+I26*2+I28+I52*33)/2.5</f>
        <v>4807.8079999999991</v>
      </c>
      <c r="J15" s="1488"/>
      <c r="K15" s="1487">
        <f>(I19*1.376*3+I24*3+I23+I27*2+I28+I52*36)/2.5</f>
        <v>5003.3279999999995</v>
      </c>
      <c r="L15" s="1489"/>
      <c r="M15" s="5"/>
      <c r="N15" s="337"/>
      <c r="O15" s="337"/>
      <c r="P15" s="337"/>
      <c r="Q15" s="337"/>
      <c r="R15" s="337"/>
      <c r="S15" s="337"/>
      <c r="T15" s="337"/>
      <c r="U15" s="95"/>
    </row>
    <row r="16" spans="1:21" ht="69.95" customHeight="1" x14ac:dyDescent="0.3">
      <c r="A16" s="1443"/>
      <c r="B16" s="1525"/>
      <c r="C16" s="466">
        <v>2.4</v>
      </c>
      <c r="D16" s="1472"/>
      <c r="E16" s="1473"/>
      <c r="F16" s="1473"/>
      <c r="G16" s="1473"/>
      <c r="H16" s="1474"/>
      <c r="I16" s="1482">
        <f>(I19*1.6942*3+I24*3+I23+N40+I26*2+I29*2+I52*39)/2.5</f>
        <v>6504.8696</v>
      </c>
      <c r="J16" s="1490"/>
      <c r="K16" s="1482">
        <f>(I19*1.6942*3+I24*3+I23+N40+I27*2+I29*2+I52*43)/2.5</f>
        <v>6702.6296000000002</v>
      </c>
      <c r="L16" s="1483"/>
      <c r="M16" s="5"/>
      <c r="N16" s="337"/>
      <c r="O16" s="337"/>
      <c r="P16" s="337"/>
      <c r="Q16" s="337"/>
      <c r="R16" s="337"/>
      <c r="S16" s="337"/>
      <c r="T16" s="337"/>
      <c r="U16" s="95"/>
    </row>
    <row r="17" spans="1:20" s="347" customFormat="1" ht="39.950000000000003" customHeight="1" x14ac:dyDescent="0.2">
      <c r="A17" s="1491" t="s">
        <v>168</v>
      </c>
      <c r="B17" s="1491"/>
      <c r="C17" s="1491"/>
      <c r="D17" s="1491"/>
      <c r="E17" s="1491"/>
      <c r="F17" s="1491"/>
      <c r="G17" s="1491"/>
      <c r="H17" s="1491"/>
      <c r="I17" s="1491"/>
      <c r="J17" s="1491"/>
      <c r="K17" s="1491"/>
      <c r="L17" s="1491"/>
      <c r="M17" s="15"/>
    </row>
    <row r="18" spans="1:20" ht="55.5" customHeight="1" x14ac:dyDescent="0.3">
      <c r="A18" s="460" t="s">
        <v>76</v>
      </c>
      <c r="B18" s="1430" t="s">
        <v>71</v>
      </c>
      <c r="C18" s="1430"/>
      <c r="D18" s="460" t="s">
        <v>108</v>
      </c>
      <c r="E18" s="460" t="s">
        <v>109</v>
      </c>
      <c r="F18" s="460" t="s">
        <v>12</v>
      </c>
      <c r="G18" s="460" t="s">
        <v>27</v>
      </c>
      <c r="H18" s="460" t="s">
        <v>110</v>
      </c>
      <c r="I18" s="1493" t="s">
        <v>344</v>
      </c>
      <c r="J18" s="1494"/>
      <c r="K18" s="1494"/>
      <c r="L18" s="1495"/>
      <c r="M18" s="84" t="s">
        <v>10</v>
      </c>
      <c r="N18" s="5"/>
      <c r="O18" s="497" t="s">
        <v>437</v>
      </c>
      <c r="P18" s="246"/>
    </row>
    <row r="19" spans="1:20" ht="45" customHeight="1" x14ac:dyDescent="0.3">
      <c r="A19" s="1396"/>
      <c r="B19" s="1405" t="s">
        <v>423</v>
      </c>
      <c r="C19" s="1406"/>
      <c r="D19" s="1454" t="s">
        <v>635</v>
      </c>
      <c r="E19" s="1367"/>
      <c r="F19" s="1369" t="s">
        <v>634</v>
      </c>
      <c r="G19" s="1478" t="s">
        <v>16</v>
      </c>
      <c r="H19" s="1480">
        <v>0.5</v>
      </c>
      <c r="I19" s="1457">
        <f>ROUND(M19*BelarusV_Modpe*(1-$B$69),2)</f>
        <v>990</v>
      </c>
      <c r="J19" s="1458"/>
      <c r="K19" s="1461" t="s">
        <v>622</v>
      </c>
      <c r="L19" s="1462"/>
      <c r="M19" s="85">
        <v>990</v>
      </c>
      <c r="N19" s="246"/>
      <c r="O19" s="308"/>
      <c r="P19" s="308"/>
    </row>
    <row r="20" spans="1:20" ht="54.95" customHeight="1" x14ac:dyDescent="0.3">
      <c r="A20" s="1396"/>
      <c r="B20" s="1452" t="s">
        <v>633</v>
      </c>
      <c r="C20" s="1453"/>
      <c r="D20" s="1455"/>
      <c r="E20" s="1368"/>
      <c r="F20" s="1370"/>
      <c r="G20" s="1479"/>
      <c r="H20" s="1481"/>
      <c r="I20" s="1459"/>
      <c r="J20" s="1460"/>
      <c r="K20" s="1463"/>
      <c r="L20" s="1464"/>
      <c r="M20" s="85"/>
      <c r="N20" s="246"/>
      <c r="O20" s="308"/>
      <c r="P20" s="308"/>
    </row>
    <row r="21" spans="1:20" ht="50.1" customHeight="1" x14ac:dyDescent="0.3">
      <c r="A21" s="1442"/>
      <c r="B21" s="1405" t="s">
        <v>621</v>
      </c>
      <c r="C21" s="1406"/>
      <c r="D21" s="1454" t="s">
        <v>631</v>
      </c>
      <c r="E21" s="805"/>
      <c r="F21" s="800"/>
      <c r="G21" s="1478" t="s">
        <v>16</v>
      </c>
      <c r="H21" s="1552">
        <v>0.45</v>
      </c>
      <c r="I21" s="1457">
        <f>ROUND(M21*BelarusV_Modpe*(1-$B$69),2)</f>
        <v>866</v>
      </c>
      <c r="J21" s="1458"/>
      <c r="K21" s="1461" t="s">
        <v>622</v>
      </c>
      <c r="L21" s="1462"/>
      <c r="M21" s="85">
        <v>866</v>
      </c>
      <c r="N21" s="246"/>
      <c r="O21" s="308"/>
      <c r="P21" s="308"/>
    </row>
    <row r="22" spans="1:20" ht="50.1" customHeight="1" x14ac:dyDescent="0.3">
      <c r="A22" s="1443"/>
      <c r="B22" s="1409"/>
      <c r="C22" s="1410"/>
      <c r="D22" s="1455"/>
      <c r="E22" s="805"/>
      <c r="F22" s="800"/>
      <c r="G22" s="1479"/>
      <c r="H22" s="1553"/>
      <c r="I22" s="1459"/>
      <c r="J22" s="1460"/>
      <c r="K22" s="1463"/>
      <c r="L22" s="1464"/>
      <c r="M22" s="85"/>
      <c r="N22" s="246"/>
      <c r="O22" s="308"/>
      <c r="P22" s="308"/>
    </row>
    <row r="23" spans="1:20" ht="39.950000000000003" customHeight="1" x14ac:dyDescent="0.3">
      <c r="A23" s="392"/>
      <c r="B23" s="1373" t="s">
        <v>133</v>
      </c>
      <c r="C23" s="1373"/>
      <c r="D23" s="396" t="s">
        <v>97</v>
      </c>
      <c r="E23" s="396">
        <v>25</v>
      </c>
      <c r="F23" s="516">
        <v>3.6</v>
      </c>
      <c r="G23" s="516" t="s">
        <v>1380</v>
      </c>
      <c r="H23" s="517">
        <v>0.5</v>
      </c>
      <c r="I23" s="1380">
        <f t="shared" ref="I23:I29" si="0">ROUND(M23*BelarusV_Modpe*(1-$B$69),2)</f>
        <v>1745</v>
      </c>
      <c r="J23" s="1381"/>
      <c r="K23" s="1381"/>
      <c r="L23" s="1382"/>
      <c r="M23" s="85">
        <v>1745</v>
      </c>
      <c r="N23" s="246"/>
      <c r="O23" s="308"/>
      <c r="P23" s="308"/>
    </row>
    <row r="24" spans="1:20" ht="45" customHeight="1" x14ac:dyDescent="0.3">
      <c r="A24" s="1442"/>
      <c r="B24" s="1405" t="s">
        <v>90</v>
      </c>
      <c r="C24" s="1406"/>
      <c r="D24" s="494" t="s">
        <v>91</v>
      </c>
      <c r="E24" s="1367">
        <v>50</v>
      </c>
      <c r="F24" s="516">
        <v>3.3</v>
      </c>
      <c r="G24" s="1369" t="s">
        <v>16</v>
      </c>
      <c r="H24" s="1371">
        <v>0.9</v>
      </c>
      <c r="I24" s="1393">
        <f t="shared" si="0"/>
        <v>1185</v>
      </c>
      <c r="J24" s="1394"/>
      <c r="K24" s="1394"/>
      <c r="L24" s="1395"/>
      <c r="M24" s="85">
        <v>1185</v>
      </c>
      <c r="N24" s="246"/>
      <c r="O24" s="308"/>
      <c r="P24" s="308"/>
    </row>
    <row r="25" spans="1:20" ht="45" customHeight="1" x14ac:dyDescent="0.3">
      <c r="A25" s="1443"/>
      <c r="B25" s="1409"/>
      <c r="C25" s="1410"/>
      <c r="D25" s="495" t="s">
        <v>625</v>
      </c>
      <c r="E25" s="1368"/>
      <c r="F25" s="518">
        <v>3.93</v>
      </c>
      <c r="G25" s="1370"/>
      <c r="H25" s="1372"/>
      <c r="I25" s="1498">
        <f t="shared" si="0"/>
        <v>1422</v>
      </c>
      <c r="J25" s="1499"/>
      <c r="K25" s="1499"/>
      <c r="L25" s="1500"/>
      <c r="M25" s="85">
        <v>1422</v>
      </c>
      <c r="N25" s="246"/>
      <c r="O25" s="308"/>
      <c r="P25" s="308"/>
    </row>
    <row r="26" spans="1:20" ht="39.950000000000003" customHeight="1" x14ac:dyDescent="0.3">
      <c r="A26" s="1396"/>
      <c r="B26" s="1373" t="s">
        <v>98</v>
      </c>
      <c r="C26" s="1373"/>
      <c r="D26" s="494" t="s">
        <v>99</v>
      </c>
      <c r="E26" s="1367">
        <v>50</v>
      </c>
      <c r="F26" s="513">
        <v>3.3</v>
      </c>
      <c r="G26" s="1554" t="s">
        <v>16</v>
      </c>
      <c r="H26" s="1497">
        <v>0.9</v>
      </c>
      <c r="I26" s="1393">
        <f t="shared" si="0"/>
        <v>1185</v>
      </c>
      <c r="J26" s="1394"/>
      <c r="K26" s="1394"/>
      <c r="L26" s="1395"/>
      <c r="M26" s="85">
        <v>1185</v>
      </c>
      <c r="N26" s="246"/>
      <c r="O26" s="308"/>
      <c r="P26" s="308"/>
    </row>
    <row r="27" spans="1:20" ht="39.950000000000003" customHeight="1" x14ac:dyDescent="0.3">
      <c r="A27" s="1396"/>
      <c r="B27" s="1373"/>
      <c r="C27" s="1373"/>
      <c r="D27" s="495" t="s">
        <v>100</v>
      </c>
      <c r="E27" s="1368"/>
      <c r="F27" s="514">
        <v>3.96</v>
      </c>
      <c r="G27" s="1554"/>
      <c r="H27" s="1497"/>
      <c r="I27" s="1498">
        <f t="shared" si="0"/>
        <v>1421</v>
      </c>
      <c r="J27" s="1499"/>
      <c r="K27" s="1499"/>
      <c r="L27" s="1500"/>
      <c r="M27" s="85">
        <v>1421</v>
      </c>
      <c r="N27" s="246"/>
      <c r="O27" s="308"/>
      <c r="P27" s="308"/>
    </row>
    <row r="28" spans="1:20" ht="39.950000000000003" customHeight="1" x14ac:dyDescent="0.3">
      <c r="A28" s="392"/>
      <c r="B28" s="1373" t="s">
        <v>102</v>
      </c>
      <c r="C28" s="1373"/>
      <c r="D28" s="396" t="s">
        <v>629</v>
      </c>
      <c r="E28" s="396">
        <v>80</v>
      </c>
      <c r="F28" s="516">
        <v>0.06</v>
      </c>
      <c r="G28" s="516" t="s">
        <v>16</v>
      </c>
      <c r="H28" s="517">
        <v>0.5</v>
      </c>
      <c r="I28" s="1380">
        <f t="shared" si="0"/>
        <v>78</v>
      </c>
      <c r="J28" s="1381"/>
      <c r="K28" s="1381"/>
      <c r="L28" s="1382"/>
      <c r="M28" s="85">
        <v>78</v>
      </c>
      <c r="N28" s="246"/>
      <c r="O28" s="308"/>
      <c r="P28" s="308"/>
    </row>
    <row r="29" spans="1:20" ht="39.950000000000003" customHeight="1" x14ac:dyDescent="0.3">
      <c r="A29" s="392"/>
      <c r="B29" s="1373" t="s">
        <v>89</v>
      </c>
      <c r="C29" s="1373"/>
      <c r="D29" s="396" t="s">
        <v>628</v>
      </c>
      <c r="E29" s="396">
        <v>160</v>
      </c>
      <c r="F29" s="516">
        <v>0.03</v>
      </c>
      <c r="G29" s="516" t="s">
        <v>16</v>
      </c>
      <c r="H29" s="517">
        <v>0.5</v>
      </c>
      <c r="I29" s="1380">
        <f t="shared" si="0"/>
        <v>59</v>
      </c>
      <c r="J29" s="1381"/>
      <c r="K29" s="1381"/>
      <c r="L29" s="1382"/>
      <c r="M29" s="85">
        <v>59</v>
      </c>
      <c r="N29" s="246"/>
      <c r="O29" s="308"/>
      <c r="P29" s="308"/>
    </row>
    <row r="30" spans="1:20" ht="39.950000000000003" customHeight="1" x14ac:dyDescent="0.3">
      <c r="A30" s="1442"/>
      <c r="B30" s="1405" t="s">
        <v>1375</v>
      </c>
      <c r="C30" s="1406"/>
      <c r="D30" s="396" t="s">
        <v>610</v>
      </c>
      <c r="E30" s="1367">
        <v>180</v>
      </c>
      <c r="F30" s="516">
        <v>1.94</v>
      </c>
      <c r="G30" s="800" t="s">
        <v>43</v>
      </c>
      <c r="H30" s="1371">
        <v>1</v>
      </c>
      <c r="I30" s="1380">
        <f>ROUND(M30*BelarusV_Modzn*(1-$B$69),2)</f>
        <v>502</v>
      </c>
      <c r="J30" s="1381"/>
      <c r="K30" s="1381"/>
      <c r="L30" s="1382"/>
      <c r="M30" s="85">
        <f>ROUND(O30*F30,0)</f>
        <v>502</v>
      </c>
      <c r="N30" s="308"/>
      <c r="O30" s="498">
        <v>259</v>
      </c>
      <c r="P30" s="308"/>
    </row>
    <row r="31" spans="1:20" ht="39.950000000000003" customHeight="1" x14ac:dyDescent="0.3">
      <c r="A31" s="1548"/>
      <c r="B31" s="1407"/>
      <c r="C31" s="1408"/>
      <c r="D31" s="1367" t="s">
        <v>609</v>
      </c>
      <c r="E31" s="1398"/>
      <c r="F31" s="1549">
        <v>2.4249999999999998</v>
      </c>
      <c r="G31" s="513" t="s">
        <v>43</v>
      </c>
      <c r="H31" s="1397"/>
      <c r="I31" s="1504">
        <f>ROUND(M31*BelarusV_Modzn*(1-$B$69),2)</f>
        <v>628</v>
      </c>
      <c r="J31" s="1505"/>
      <c r="K31" s="1505"/>
      <c r="L31" s="1506"/>
      <c r="M31" s="85">
        <f>ROUND(O31*F31,0)</f>
        <v>628</v>
      </c>
      <c r="O31" s="498">
        <v>259</v>
      </c>
      <c r="P31" s="308"/>
      <c r="R31" s="246"/>
      <c r="T31" s="353"/>
    </row>
    <row r="32" spans="1:20" ht="39.950000000000003" customHeight="1" x14ac:dyDescent="0.3">
      <c r="A32" s="1548"/>
      <c r="B32" s="1407"/>
      <c r="C32" s="1408"/>
      <c r="D32" s="1368"/>
      <c r="E32" s="1398"/>
      <c r="F32" s="1550"/>
      <c r="G32" s="514" t="s">
        <v>1380</v>
      </c>
      <c r="H32" s="1397"/>
      <c r="I32" s="1501">
        <f>ROUND(M32*BelarusV_Modpe*(1-$B$69),2)</f>
        <v>732</v>
      </c>
      <c r="J32" s="1502"/>
      <c r="K32" s="1502"/>
      <c r="L32" s="1503"/>
      <c r="M32" s="85">
        <f>ROUND(O32*F31,0)</f>
        <v>732</v>
      </c>
      <c r="N32" s="246"/>
      <c r="O32" s="498">
        <v>302</v>
      </c>
      <c r="P32" s="308"/>
      <c r="R32" s="246"/>
      <c r="T32" s="353"/>
    </row>
    <row r="33" spans="1:20" ht="39.950000000000003" customHeight="1" x14ac:dyDescent="0.3">
      <c r="A33" s="1548"/>
      <c r="B33" s="1407"/>
      <c r="C33" s="1408"/>
      <c r="D33" s="1398" t="s">
        <v>44</v>
      </c>
      <c r="E33" s="1398"/>
      <c r="F33" s="1551">
        <v>2.91</v>
      </c>
      <c r="G33" s="513" t="s">
        <v>43</v>
      </c>
      <c r="H33" s="1397"/>
      <c r="I33" s="1504">
        <f>ROUND(M33*BelarusV_Modzn*(1-$B$69),2)</f>
        <v>754</v>
      </c>
      <c r="J33" s="1505"/>
      <c r="K33" s="1505"/>
      <c r="L33" s="1506"/>
      <c r="M33" s="85">
        <f>ROUND(O33*F33,0)</f>
        <v>754</v>
      </c>
      <c r="N33" s="246"/>
      <c r="O33" s="498">
        <v>259</v>
      </c>
      <c r="P33" s="308"/>
      <c r="R33" s="246"/>
      <c r="T33" s="353"/>
    </row>
    <row r="34" spans="1:20" ht="39.950000000000003" customHeight="1" x14ac:dyDescent="0.3">
      <c r="A34" s="1443"/>
      <c r="B34" s="1409"/>
      <c r="C34" s="1410"/>
      <c r="D34" s="1368"/>
      <c r="E34" s="1368"/>
      <c r="F34" s="1550"/>
      <c r="G34" s="514" t="s">
        <v>1380</v>
      </c>
      <c r="H34" s="1372"/>
      <c r="I34" s="1501">
        <f>ROUND(M34*BelarusV_Modpe*(1-$B$69),2)</f>
        <v>879</v>
      </c>
      <c r="J34" s="1502"/>
      <c r="K34" s="1502"/>
      <c r="L34" s="1503"/>
      <c r="M34" s="85">
        <f>ROUND(O34*F33,0)</f>
        <v>879</v>
      </c>
      <c r="N34" s="246"/>
      <c r="O34" s="498">
        <v>302</v>
      </c>
      <c r="P34" s="308"/>
      <c r="R34" s="246"/>
      <c r="T34" s="353"/>
    </row>
    <row r="35" spans="1:20" ht="39.950000000000003" customHeight="1" x14ac:dyDescent="0.3">
      <c r="A35" s="1421"/>
      <c r="B35" s="1411" t="s">
        <v>1376</v>
      </c>
      <c r="C35" s="1412"/>
      <c r="D35" s="1516" t="s">
        <v>44</v>
      </c>
      <c r="E35" s="1516">
        <v>180</v>
      </c>
      <c r="F35" s="681">
        <v>3.87</v>
      </c>
      <c r="G35" s="681" t="s">
        <v>1381</v>
      </c>
      <c r="H35" s="682">
        <v>1.5</v>
      </c>
      <c r="I35" s="1512">
        <f>ROUND(M35*BelarusV_Modpe*(1-$B$69),2)</f>
        <v>650</v>
      </c>
      <c r="J35" s="1513"/>
      <c r="K35" s="1417" t="s">
        <v>528</v>
      </c>
      <c r="L35" s="1418"/>
      <c r="M35" s="85">
        <v>650</v>
      </c>
      <c r="N35" s="246"/>
      <c r="O35" s="498"/>
      <c r="P35" s="308"/>
      <c r="R35" s="246"/>
      <c r="T35" s="353"/>
    </row>
    <row r="36" spans="1:20" ht="39.950000000000003" customHeight="1" x14ac:dyDescent="0.3">
      <c r="A36" s="1422"/>
      <c r="B36" s="1413"/>
      <c r="C36" s="1414"/>
      <c r="D36" s="1517"/>
      <c r="E36" s="1517"/>
      <c r="F36" s="678">
        <v>5.0999999999999996</v>
      </c>
      <c r="G36" s="678" t="s">
        <v>1381</v>
      </c>
      <c r="H36" s="680">
        <v>2</v>
      </c>
      <c r="I36" s="1510">
        <f>ROUND(M36*BelarusV_Modpe*(1-$B$69),2)</f>
        <v>777</v>
      </c>
      <c r="J36" s="1511"/>
      <c r="K36" s="1419"/>
      <c r="L36" s="1420"/>
      <c r="M36" s="85">
        <v>777</v>
      </c>
      <c r="N36" s="246"/>
      <c r="O36" s="498"/>
      <c r="P36" s="308"/>
      <c r="R36" s="246"/>
      <c r="T36" s="353"/>
    </row>
    <row r="37" spans="1:20" ht="39.950000000000003" customHeight="1" x14ac:dyDescent="0.3">
      <c r="A37" s="1396"/>
      <c r="B37" s="1405" t="s">
        <v>510</v>
      </c>
      <c r="C37" s="1406"/>
      <c r="D37" s="396" t="s">
        <v>77</v>
      </c>
      <c r="E37" s="1367">
        <v>96</v>
      </c>
      <c r="F37" s="518">
        <v>5.42</v>
      </c>
      <c r="G37" s="513" t="s">
        <v>43</v>
      </c>
      <c r="H37" s="1371">
        <v>1.4</v>
      </c>
      <c r="I37" s="1399">
        <f>ROUND(M37*BelarusV_Modzn*(1-$B$69),2)</f>
        <v>1339</v>
      </c>
      <c r="J37" s="1400"/>
      <c r="K37" s="1400"/>
      <c r="L37" s="1401"/>
      <c r="M37" s="85">
        <f>ROUND(O37*F37,0)</f>
        <v>1339</v>
      </c>
      <c r="N37" s="85">
        <f>'Эл-ты панельных ограждений - 1'!I28</f>
        <v>1501</v>
      </c>
      <c r="O37" s="803">
        <f>'Эл-ты панельных ограждений - 1'!K4</f>
        <v>247</v>
      </c>
      <c r="P37" s="308"/>
      <c r="R37" s="246"/>
      <c r="T37" s="353"/>
    </row>
    <row r="38" spans="1:20" ht="39.950000000000003" customHeight="1" x14ac:dyDescent="0.3">
      <c r="A38" s="1396"/>
      <c r="B38" s="1407"/>
      <c r="C38" s="1408"/>
      <c r="D38" s="396" t="s">
        <v>45</v>
      </c>
      <c r="E38" s="1398"/>
      <c r="F38" s="516">
        <v>6.78</v>
      </c>
      <c r="G38" s="513" t="s">
        <v>43</v>
      </c>
      <c r="H38" s="1397"/>
      <c r="I38" s="1399">
        <f>ROUND(M38*BelarusV_Modzn*(1-$B$69),2)</f>
        <v>1675</v>
      </c>
      <c r="J38" s="1400"/>
      <c r="K38" s="1400"/>
      <c r="L38" s="1401"/>
      <c r="M38" s="85">
        <f t="shared" ref="M38:M41" si="1">ROUND(O38*F38,0)</f>
        <v>1675</v>
      </c>
      <c r="N38" s="85">
        <f>'Эл-ты панельных ограждений - 1'!I33</f>
        <v>1877</v>
      </c>
      <c r="O38" s="803">
        <f>$O$37</f>
        <v>247</v>
      </c>
      <c r="P38" s="308"/>
      <c r="R38" s="246"/>
      <c r="T38" s="353"/>
    </row>
    <row r="39" spans="1:20" ht="39.950000000000003" customHeight="1" x14ac:dyDescent="0.3">
      <c r="A39" s="1396"/>
      <c r="B39" s="1407"/>
      <c r="C39" s="1408"/>
      <c r="D39" s="396" t="s">
        <v>46</v>
      </c>
      <c r="E39" s="1398"/>
      <c r="F39" s="516">
        <v>8.1300000000000008</v>
      </c>
      <c r="G39" s="513" t="s">
        <v>43</v>
      </c>
      <c r="H39" s="1372"/>
      <c r="I39" s="1399">
        <f>ROUND(M39*BelarusV_Modzn*(1-$B$69),2)</f>
        <v>2008</v>
      </c>
      <c r="J39" s="1400"/>
      <c r="K39" s="1400"/>
      <c r="L39" s="1401"/>
      <c r="M39" s="85">
        <f t="shared" si="1"/>
        <v>2008</v>
      </c>
      <c r="N39" s="85">
        <f>'Эл-ты панельных ограждений - 1'!I36</f>
        <v>2252</v>
      </c>
      <c r="O39" s="803">
        <f t="shared" ref="O39:O41" si="2">$O$37</f>
        <v>247</v>
      </c>
      <c r="P39" s="308"/>
      <c r="R39" s="246"/>
      <c r="T39" s="353"/>
    </row>
    <row r="40" spans="1:20" ht="39.950000000000003" customHeight="1" x14ac:dyDescent="0.3">
      <c r="A40" s="1396"/>
      <c r="B40" s="1407"/>
      <c r="C40" s="1408"/>
      <c r="D40" s="515" t="s">
        <v>135</v>
      </c>
      <c r="E40" s="1367">
        <v>64</v>
      </c>
      <c r="F40" s="518">
        <v>11.64</v>
      </c>
      <c r="G40" s="513" t="s">
        <v>43</v>
      </c>
      <c r="H40" s="1371">
        <v>1.6</v>
      </c>
      <c r="I40" s="1399">
        <f>ROUND(M40*BelarusV_Modzn*(1-$B$69),2)</f>
        <v>2875</v>
      </c>
      <c r="J40" s="1400"/>
      <c r="K40" s="1400"/>
      <c r="L40" s="1401"/>
      <c r="M40" s="85">
        <f t="shared" si="1"/>
        <v>2875</v>
      </c>
      <c r="N40" s="85">
        <f>'Эл-ты панельных ограждений - 1'!I42</f>
        <v>3224</v>
      </c>
      <c r="O40" s="803">
        <f t="shared" si="2"/>
        <v>247</v>
      </c>
      <c r="P40" s="308"/>
      <c r="R40" s="246"/>
      <c r="T40" s="353"/>
    </row>
    <row r="41" spans="1:20" ht="39.950000000000003" customHeight="1" x14ac:dyDescent="0.3">
      <c r="A41" s="1396"/>
      <c r="B41" s="1407"/>
      <c r="C41" s="1408"/>
      <c r="D41" s="515" t="s">
        <v>136</v>
      </c>
      <c r="E41" s="1398"/>
      <c r="F41" s="518">
        <v>15.52</v>
      </c>
      <c r="G41" s="518" t="s">
        <v>43</v>
      </c>
      <c r="H41" s="1397"/>
      <c r="I41" s="1507">
        <f>ROUND(M41*BelarusV_Modzn*(1-$B$69),2)</f>
        <v>3833</v>
      </c>
      <c r="J41" s="1508"/>
      <c r="K41" s="1508"/>
      <c r="L41" s="1509"/>
      <c r="M41" s="85">
        <f t="shared" si="1"/>
        <v>3833</v>
      </c>
      <c r="N41" s="85">
        <f>'Эл-ты панельных ограждений - 1'!I43</f>
        <v>4299</v>
      </c>
      <c r="O41" s="803">
        <f t="shared" si="2"/>
        <v>247</v>
      </c>
      <c r="P41" s="308"/>
      <c r="R41" s="246"/>
      <c r="T41" s="353"/>
    </row>
    <row r="42" spans="1:20" ht="35.1" customHeight="1" x14ac:dyDescent="0.3">
      <c r="A42" s="1396"/>
      <c r="B42" s="1409"/>
      <c r="C42" s="1410"/>
      <c r="D42" s="1402" t="s">
        <v>353</v>
      </c>
      <c r="E42" s="1403"/>
      <c r="F42" s="1403"/>
      <c r="G42" s="1403"/>
      <c r="H42" s="1403"/>
      <c r="I42" s="1403"/>
      <c r="J42" s="1403"/>
      <c r="K42" s="1403"/>
      <c r="L42" s="1404"/>
      <c r="M42" s="85"/>
      <c r="N42" s="246"/>
      <c r="O42" s="308"/>
      <c r="P42" s="308"/>
      <c r="R42" s="246"/>
      <c r="T42" s="353"/>
    </row>
    <row r="43" spans="1:20" ht="39.950000000000003" customHeight="1" x14ac:dyDescent="0.3">
      <c r="A43" s="1421"/>
      <c r="B43" s="1411" t="s">
        <v>1377</v>
      </c>
      <c r="C43" s="1412"/>
      <c r="D43" s="1423" t="s">
        <v>511</v>
      </c>
      <c r="E43" s="1425">
        <v>96</v>
      </c>
      <c r="F43" s="684">
        <v>8.1</v>
      </c>
      <c r="G43" s="684" t="s">
        <v>1381</v>
      </c>
      <c r="H43" s="686">
        <v>1.5</v>
      </c>
      <c r="I43" s="1514">
        <f>ROUND(M43*BelarusV_Modpe*(1-$B$69),2)</f>
        <v>1347</v>
      </c>
      <c r="J43" s="1515"/>
      <c r="K43" s="1417" t="s">
        <v>528</v>
      </c>
      <c r="L43" s="1418"/>
      <c r="M43" s="85">
        <v>1347</v>
      </c>
      <c r="N43" s="246"/>
      <c r="O43" s="308"/>
      <c r="P43" s="308"/>
      <c r="R43" s="246"/>
      <c r="T43" s="353"/>
    </row>
    <row r="44" spans="1:20" ht="39.950000000000003" customHeight="1" x14ac:dyDescent="0.3">
      <c r="A44" s="1422"/>
      <c r="B44" s="1413"/>
      <c r="C44" s="1414"/>
      <c r="D44" s="1424"/>
      <c r="E44" s="1426"/>
      <c r="F44" s="678">
        <v>10.74</v>
      </c>
      <c r="G44" s="683" t="s">
        <v>1381</v>
      </c>
      <c r="H44" s="685">
        <v>2</v>
      </c>
      <c r="I44" s="1415">
        <f>ROUND(M44*BelarusV_Modpe*(1-$B$69),2)</f>
        <v>1768</v>
      </c>
      <c r="J44" s="1416"/>
      <c r="K44" s="1419"/>
      <c r="L44" s="1420"/>
      <c r="M44" s="85">
        <v>1768</v>
      </c>
      <c r="N44" s="246"/>
      <c r="O44" s="308"/>
      <c r="P44" s="308"/>
      <c r="R44" s="246"/>
      <c r="T44" s="353"/>
    </row>
    <row r="45" spans="1:20" ht="39.950000000000003" customHeight="1" x14ac:dyDescent="0.3">
      <c r="A45" s="1442"/>
      <c r="B45" s="1405" t="s">
        <v>1378</v>
      </c>
      <c r="C45" s="1406"/>
      <c r="D45" s="1367" t="s">
        <v>101</v>
      </c>
      <c r="E45" s="1367">
        <v>42</v>
      </c>
      <c r="F45" s="1369">
        <v>0.25</v>
      </c>
      <c r="G45" s="513" t="s">
        <v>43</v>
      </c>
      <c r="H45" s="1371">
        <v>1.4</v>
      </c>
      <c r="I45" s="1393">
        <f>ROUND(M45*BelarusV_Modzn*(1-$B$69),2)</f>
        <v>144</v>
      </c>
      <c r="J45" s="1394"/>
      <c r="K45" s="1394"/>
      <c r="L45" s="1395"/>
      <c r="M45" s="85">
        <v>144</v>
      </c>
      <c r="N45" s="246"/>
      <c r="O45" s="308"/>
      <c r="P45" s="308"/>
    </row>
    <row r="46" spans="1:20" ht="39.950000000000003" customHeight="1" x14ac:dyDescent="0.3">
      <c r="A46" s="1443"/>
      <c r="B46" s="1409"/>
      <c r="C46" s="1410"/>
      <c r="D46" s="1368"/>
      <c r="E46" s="1368"/>
      <c r="F46" s="1370"/>
      <c r="G46" s="514" t="s">
        <v>1380</v>
      </c>
      <c r="H46" s="1372"/>
      <c r="I46" s="1498">
        <f>ROUND(M46*BelarusV_Modpe*(1-$B$69),2)</f>
        <v>243</v>
      </c>
      <c r="J46" s="1499"/>
      <c r="K46" s="1499"/>
      <c r="L46" s="1500"/>
      <c r="M46" s="85">
        <v>243</v>
      </c>
      <c r="N46" s="246"/>
      <c r="O46" s="308"/>
      <c r="P46" s="308"/>
    </row>
    <row r="47" spans="1:20" ht="50.1" customHeight="1" x14ac:dyDescent="0.3">
      <c r="A47" s="676"/>
      <c r="B47" s="1341" t="s">
        <v>1379</v>
      </c>
      <c r="C47" s="1342"/>
      <c r="D47" s="677"/>
      <c r="E47" s="677">
        <v>50</v>
      </c>
      <c r="F47" s="678">
        <v>0.26</v>
      </c>
      <c r="G47" s="678" t="s">
        <v>1380</v>
      </c>
      <c r="H47" s="679">
        <v>1.5</v>
      </c>
      <c r="I47" s="1343">
        <f>ROUND(M47*BelarusV_Modpe*(1-$B$69),2)</f>
        <v>207</v>
      </c>
      <c r="J47" s="1344"/>
      <c r="K47" s="1378" t="s">
        <v>528</v>
      </c>
      <c r="L47" s="1379"/>
      <c r="M47" s="85">
        <v>207</v>
      </c>
      <c r="N47" s="246"/>
      <c r="O47" s="308"/>
      <c r="P47" s="308"/>
    </row>
    <row r="48" spans="1:20" ht="50.1" customHeight="1" x14ac:dyDescent="0.3">
      <c r="A48" s="724"/>
      <c r="B48" s="1374" t="s">
        <v>512</v>
      </c>
      <c r="C48" s="1375"/>
      <c r="D48" s="721" t="s">
        <v>523</v>
      </c>
      <c r="E48" s="721"/>
      <c r="F48" s="723">
        <v>0.126</v>
      </c>
      <c r="G48" s="722" t="s">
        <v>1380</v>
      </c>
      <c r="H48" s="720">
        <v>3</v>
      </c>
      <c r="I48" s="1380">
        <f>ROUND(M48*BelarusV_Modpe*(1-$B$69),2)</f>
        <v>188</v>
      </c>
      <c r="J48" s="1381"/>
      <c r="K48" s="1381"/>
      <c r="L48" s="1382"/>
      <c r="M48" s="85">
        <v>188</v>
      </c>
      <c r="N48" s="246"/>
      <c r="O48" s="308"/>
      <c r="P48" s="308"/>
    </row>
    <row r="49" spans="1:16" ht="39.950000000000003" customHeight="1" x14ac:dyDescent="0.3">
      <c r="A49" s="392"/>
      <c r="B49" s="1373" t="s">
        <v>103</v>
      </c>
      <c r="C49" s="1373"/>
      <c r="D49" s="396" t="s">
        <v>104</v>
      </c>
      <c r="E49" s="396">
        <v>400</v>
      </c>
      <c r="F49" s="516" t="s">
        <v>18</v>
      </c>
      <c r="G49" s="516" t="s">
        <v>105</v>
      </c>
      <c r="H49" s="517" t="s">
        <v>18</v>
      </c>
      <c r="I49" s="1380">
        <f>ROUND(M49*BelarusV_Modpe*(1-$B$69),2)</f>
        <v>87</v>
      </c>
      <c r="J49" s="1381"/>
      <c r="K49" s="1381"/>
      <c r="L49" s="1382"/>
      <c r="M49" s="85">
        <v>87</v>
      </c>
      <c r="N49" s="246"/>
      <c r="O49" s="308"/>
      <c r="P49" s="308"/>
    </row>
    <row r="50" spans="1:16" ht="50.1" customHeight="1" x14ac:dyDescent="0.3">
      <c r="A50" s="412"/>
      <c r="B50" s="1346" t="s">
        <v>164</v>
      </c>
      <c r="C50" s="1347"/>
      <c r="D50" s="519" t="s">
        <v>163</v>
      </c>
      <c r="E50" s="1385" t="s">
        <v>18</v>
      </c>
      <c r="F50" s="1386"/>
      <c r="G50" s="1386"/>
      <c r="H50" s="1387"/>
      <c r="I50" s="1388">
        <f>ROUND(M50*BelarusV*(1-$B$69),2)</f>
        <v>705</v>
      </c>
      <c r="J50" s="1389"/>
      <c r="K50" s="1389"/>
      <c r="L50" s="1390"/>
      <c r="M50" s="85">
        <v>705</v>
      </c>
      <c r="N50" s="246"/>
      <c r="O50" s="409"/>
      <c r="P50" s="308"/>
    </row>
    <row r="51" spans="1:16" ht="50.1" customHeight="1" x14ac:dyDescent="0.3">
      <c r="A51" s="418"/>
      <c r="B51" s="1345" t="s">
        <v>514</v>
      </c>
      <c r="C51" s="1345"/>
      <c r="D51" s="1448" t="s">
        <v>93</v>
      </c>
      <c r="E51" s="520">
        <v>1000</v>
      </c>
      <c r="F51" s="521"/>
      <c r="G51" s="521" t="s">
        <v>75</v>
      </c>
      <c r="H51" s="522" t="s">
        <v>18</v>
      </c>
      <c r="I51" s="1348">
        <f>ROUND(M51*BelarusV_Modpe*(1-$D$69),2)</f>
        <v>2.4300000000000002</v>
      </c>
      <c r="J51" s="1348"/>
      <c r="K51" s="1348"/>
      <c r="L51" s="1348"/>
      <c r="M51" s="467">
        <v>2.4300000000000002</v>
      </c>
      <c r="N51" s="246"/>
      <c r="O51" s="409"/>
      <c r="P51" s="246"/>
    </row>
    <row r="52" spans="1:16" ht="50.1" customHeight="1" x14ac:dyDescent="0.3">
      <c r="A52" s="419"/>
      <c r="B52" s="1345" t="s">
        <v>515</v>
      </c>
      <c r="C52" s="1345"/>
      <c r="D52" s="1449"/>
      <c r="E52" s="520">
        <v>250</v>
      </c>
      <c r="F52" s="523"/>
      <c r="G52" s="521" t="s">
        <v>75</v>
      </c>
      <c r="H52" s="522" t="s">
        <v>18</v>
      </c>
      <c r="I52" s="1348">
        <f>ROUND(M52*BelarusV_Modpe*(1-$C$69),2)</f>
        <v>5.6</v>
      </c>
      <c r="J52" s="1348"/>
      <c r="K52" s="1348"/>
      <c r="L52" s="1348"/>
      <c r="M52" s="467">
        <v>5.6</v>
      </c>
      <c r="N52" s="246"/>
      <c r="O52" s="409"/>
      <c r="P52" s="246"/>
    </row>
    <row r="53" spans="1:16" ht="9.9499999999999993" customHeight="1" thickBot="1" x14ac:dyDescent="0.35">
      <c r="A53" s="420"/>
      <c r="B53" s="413"/>
      <c r="C53" s="413"/>
      <c r="D53" s="284"/>
      <c r="E53" s="284"/>
      <c r="F53" s="414"/>
      <c r="G53" s="415"/>
      <c r="H53" s="416"/>
      <c r="I53" s="417"/>
      <c r="J53" s="417"/>
      <c r="K53" s="417"/>
      <c r="L53" s="417"/>
      <c r="M53" s="85"/>
      <c r="N53" s="246"/>
      <c r="O53" s="409"/>
    </row>
    <row r="54" spans="1:16" ht="24.95" customHeight="1" x14ac:dyDescent="0.3">
      <c r="A54" s="1444" t="s">
        <v>369</v>
      </c>
      <c r="B54" s="1445"/>
      <c r="C54" s="1391" t="s">
        <v>299</v>
      </c>
      <c r="D54" s="1392"/>
      <c r="E54" s="1376" t="s">
        <v>367</v>
      </c>
      <c r="F54" s="1376"/>
      <c r="G54" s="1376"/>
      <c r="H54" s="1376"/>
      <c r="I54" s="1376"/>
      <c r="J54" s="1376"/>
      <c r="K54" s="1376"/>
      <c r="L54" s="1377"/>
      <c r="M54" s="22"/>
      <c r="O54" s="409"/>
    </row>
    <row r="55" spans="1:16" ht="24.95" customHeight="1" x14ac:dyDescent="0.3">
      <c r="A55" s="1446" t="s">
        <v>425</v>
      </c>
      <c r="B55" s="1447"/>
      <c r="C55" s="1361" t="s">
        <v>513</v>
      </c>
      <c r="D55" s="1362"/>
      <c r="E55" s="1383" t="s">
        <v>481</v>
      </c>
      <c r="F55" s="1384"/>
      <c r="G55" s="1384"/>
      <c r="H55" s="1384"/>
      <c r="I55" s="869" t="s">
        <v>530</v>
      </c>
      <c r="J55" s="1354" t="s">
        <v>531</v>
      </c>
      <c r="K55" s="1354"/>
      <c r="L55" s="1355"/>
      <c r="M55" s="22"/>
      <c r="O55" s="409"/>
    </row>
    <row r="56" spans="1:16" ht="24.95" customHeight="1" x14ac:dyDescent="0.3">
      <c r="A56" s="1359" t="s">
        <v>426</v>
      </c>
      <c r="B56" s="1360"/>
      <c r="C56" s="1361" t="s">
        <v>388</v>
      </c>
      <c r="D56" s="1362"/>
      <c r="E56" s="1340" t="s">
        <v>519</v>
      </c>
      <c r="F56" s="1340"/>
      <c r="G56" s="1340"/>
      <c r="H56" s="1340"/>
      <c r="I56" s="1340"/>
      <c r="J56" s="1354"/>
      <c r="K56" s="1354"/>
      <c r="L56" s="1355"/>
      <c r="M56" s="22"/>
      <c r="O56" s="409"/>
    </row>
    <row r="57" spans="1:16" ht="24.95" customHeight="1" x14ac:dyDescent="0.3">
      <c r="A57" s="1446" t="s">
        <v>516</v>
      </c>
      <c r="B57" s="1447"/>
      <c r="C57" s="1361" t="s">
        <v>388</v>
      </c>
      <c r="D57" s="1364"/>
      <c r="E57" s="1363"/>
      <c r="F57" s="1363"/>
      <c r="G57" s="1363"/>
      <c r="H57" s="1363"/>
      <c r="I57" s="1363"/>
      <c r="J57" s="1354"/>
      <c r="K57" s="1354"/>
      <c r="L57" s="1355"/>
      <c r="M57" s="22"/>
      <c r="O57" s="409"/>
    </row>
    <row r="58" spans="1:16" ht="24.95" customHeight="1" x14ac:dyDescent="0.2">
      <c r="A58" s="1438" t="s">
        <v>427</v>
      </c>
      <c r="B58" s="1439"/>
      <c r="C58" s="1361" t="s">
        <v>841</v>
      </c>
      <c r="D58" s="1364"/>
      <c r="E58" s="1336"/>
      <c r="F58" s="1337"/>
      <c r="G58" s="1337"/>
      <c r="H58" s="1337"/>
      <c r="I58" s="1337"/>
      <c r="J58" s="1338"/>
      <c r="K58" s="1338"/>
      <c r="L58" s="1339"/>
      <c r="M58" s="22"/>
    </row>
    <row r="59" spans="1:16" ht="24.95" customHeight="1" x14ac:dyDescent="0.3">
      <c r="A59" s="1440" t="s">
        <v>365</v>
      </c>
      <c r="B59" s="1441"/>
      <c r="C59" s="1365" t="s">
        <v>366</v>
      </c>
      <c r="D59" s="1366"/>
      <c r="E59" s="1334" t="s">
        <v>744</v>
      </c>
      <c r="F59" s="1335"/>
      <c r="G59" s="1356" t="s">
        <v>368</v>
      </c>
      <c r="H59" s="1357"/>
      <c r="I59" s="870" t="s">
        <v>530</v>
      </c>
      <c r="J59" s="1357" t="s">
        <v>532</v>
      </c>
      <c r="K59" s="1357"/>
      <c r="L59" s="1358"/>
      <c r="M59" s="5"/>
    </row>
    <row r="60" spans="1:16" ht="24.95" customHeight="1" thickBot="1" x14ac:dyDescent="0.35">
      <c r="A60" s="1349" t="s">
        <v>626</v>
      </c>
      <c r="B60" s="1350"/>
      <c r="C60" s="1351" t="s">
        <v>627</v>
      </c>
      <c r="D60" s="1351"/>
      <c r="E60" s="1352" t="s">
        <v>513</v>
      </c>
      <c r="F60" s="1352"/>
      <c r="G60" s="1353"/>
      <c r="H60" s="806"/>
      <c r="I60" s="806"/>
      <c r="J60" s="806"/>
      <c r="K60" s="806"/>
      <c r="L60" s="807"/>
      <c r="M60" s="5"/>
    </row>
    <row r="61" spans="1:16" ht="24.95" customHeight="1" x14ac:dyDescent="0.3">
      <c r="A61" s="1450" t="s">
        <v>632</v>
      </c>
      <c r="B61" s="1451"/>
      <c r="C61" s="1451"/>
      <c r="D61" s="1451"/>
      <c r="E61" s="1451"/>
      <c r="G61" s="808"/>
      <c r="H61" s="808"/>
      <c r="I61" s="1333" t="s">
        <v>354</v>
      </c>
      <c r="J61" s="1333"/>
      <c r="K61" s="1333"/>
      <c r="L61" s="1333"/>
      <c r="M61" s="5"/>
    </row>
    <row r="62" spans="1:16" ht="24.95" customHeight="1" x14ac:dyDescent="0.3">
      <c r="C62" s="5"/>
      <c r="D62" s="5"/>
      <c r="E62" s="5"/>
      <c r="F62" s="5"/>
      <c r="G62" s="17"/>
      <c r="H62" s="5"/>
      <c r="I62" s="5"/>
      <c r="J62" s="5"/>
      <c r="K62" s="399"/>
      <c r="L62" s="399"/>
      <c r="M62" s="5"/>
    </row>
    <row r="63" spans="1:16" ht="20.25" x14ac:dyDescent="0.3">
      <c r="A63" s="1456"/>
      <c r="B63" s="1456"/>
      <c r="G63" s="1"/>
      <c r="M63" s="5"/>
    </row>
    <row r="64" spans="1:16" ht="20.25" x14ac:dyDescent="0.3">
      <c r="K64" s="5"/>
      <c r="L64" s="5"/>
      <c r="M64" s="5"/>
    </row>
    <row r="65" spans="1:13" ht="20.25" x14ac:dyDescent="0.3">
      <c r="G65" s="1"/>
      <c r="K65" s="45"/>
      <c r="L65" s="45"/>
      <c r="M65" s="5"/>
    </row>
    <row r="66" spans="1:13" ht="20.25" x14ac:dyDescent="0.3">
      <c r="B66" s="5"/>
      <c r="C66" s="5"/>
      <c r="D66" s="5"/>
      <c r="E66" s="5"/>
      <c r="F66" s="5"/>
      <c r="G66" s="17"/>
      <c r="H66" s="5"/>
      <c r="I66" s="5"/>
      <c r="J66" s="5"/>
      <c r="K66" s="5"/>
      <c r="L66" s="5"/>
      <c r="M66" s="5"/>
    </row>
    <row r="67" spans="1:13" ht="20.25" x14ac:dyDescent="0.3">
      <c r="A67" s="18"/>
      <c r="B67" s="5"/>
      <c r="C67" s="5"/>
      <c r="D67" s="5"/>
      <c r="E67" s="5"/>
      <c r="F67" s="5"/>
      <c r="G67" s="17"/>
      <c r="H67" s="5"/>
      <c r="I67" s="5"/>
      <c r="J67" s="5"/>
      <c r="K67" s="5"/>
      <c r="L67" s="5"/>
      <c r="M67" s="5"/>
    </row>
    <row r="68" spans="1:13" ht="52.5" customHeight="1" x14ac:dyDescent="0.3">
      <c r="A68" s="1437" t="s">
        <v>26</v>
      </c>
      <c r="B68" s="441" t="s">
        <v>65</v>
      </c>
      <c r="C68" s="660" t="s">
        <v>74</v>
      </c>
      <c r="D68" s="664" t="s">
        <v>501</v>
      </c>
      <c r="E68" s="662"/>
      <c r="G68" s="662"/>
      <c r="H68" s="662"/>
      <c r="I68" s="5"/>
      <c r="J68" s="5"/>
      <c r="K68" s="5"/>
      <c r="L68" s="5"/>
      <c r="M68" s="5"/>
    </row>
    <row r="69" spans="1:13" ht="33" x14ac:dyDescent="0.3">
      <c r="A69" s="1437"/>
      <c r="B69" s="43">
        <v>0</v>
      </c>
      <c r="C69" s="661">
        <v>0</v>
      </c>
      <c r="D69" s="43">
        <v>0</v>
      </c>
      <c r="E69" s="663"/>
      <c r="G69" s="663"/>
      <c r="H69" s="663"/>
      <c r="I69" s="5"/>
      <c r="J69" s="5"/>
      <c r="K69" s="5"/>
      <c r="L69" s="5"/>
      <c r="M69" s="5"/>
    </row>
    <row r="70" spans="1:13" ht="20.25" x14ac:dyDescent="0.3">
      <c r="B70" s="5"/>
      <c r="C70" s="5"/>
      <c r="D70" s="5"/>
      <c r="E70" s="5"/>
      <c r="F70" s="17"/>
      <c r="G70" s="17"/>
      <c r="H70" s="5"/>
      <c r="I70" s="5"/>
      <c r="J70" s="5"/>
      <c r="K70" s="5"/>
      <c r="L70" s="5"/>
      <c r="M70" s="5"/>
    </row>
    <row r="71" spans="1:13" ht="20.25" x14ac:dyDescent="0.3">
      <c r="A71" s="5"/>
      <c r="B71" s="5"/>
      <c r="C71" s="5"/>
      <c r="D71" s="5"/>
      <c r="E71" s="5"/>
      <c r="F71" s="5"/>
      <c r="G71" s="17"/>
      <c r="H71" s="5"/>
      <c r="I71" s="5"/>
      <c r="J71" s="5"/>
      <c r="K71" s="5"/>
      <c r="L71" s="5"/>
      <c r="M71" s="5"/>
    </row>
    <row r="72" spans="1:13" ht="20.25" x14ac:dyDescent="0.3">
      <c r="A72" s="5"/>
      <c r="B72" s="5"/>
      <c r="C72" s="5"/>
      <c r="D72" s="5"/>
      <c r="E72" s="5"/>
      <c r="F72" s="5"/>
      <c r="G72" s="17"/>
      <c r="H72" s="5"/>
      <c r="I72" s="5"/>
      <c r="J72" s="5"/>
      <c r="K72" s="5"/>
      <c r="L72" s="5"/>
      <c r="M72" s="5"/>
    </row>
    <row r="73" spans="1:13" ht="20.25" x14ac:dyDescent="0.3">
      <c r="A73" s="5"/>
      <c r="B73" s="5"/>
      <c r="C73" s="5"/>
      <c r="D73" s="5"/>
      <c r="E73" s="5"/>
      <c r="F73" s="5"/>
      <c r="G73" s="17"/>
      <c r="H73" s="5"/>
      <c r="I73" s="5"/>
      <c r="J73" s="5"/>
      <c r="K73" s="5"/>
      <c r="L73" s="5"/>
      <c r="M73" s="5"/>
    </row>
    <row r="74" spans="1:13" ht="20.25" x14ac:dyDescent="0.3">
      <c r="A74" s="5"/>
      <c r="B74" s="5"/>
      <c r="C74" s="5"/>
      <c r="D74" s="5"/>
      <c r="E74" s="5"/>
      <c r="F74" s="5"/>
      <c r="G74" s="17"/>
      <c r="H74" s="5"/>
      <c r="I74" s="5"/>
      <c r="J74" s="5"/>
      <c r="K74" s="5"/>
      <c r="L74" s="5"/>
      <c r="M74" s="5"/>
    </row>
    <row r="77" spans="1:13" ht="20.25" x14ac:dyDescent="0.3">
      <c r="A77" s="44"/>
    </row>
    <row r="78" spans="1:13" ht="20.25" x14ac:dyDescent="0.2">
      <c r="A78" s="18"/>
    </row>
    <row r="79" spans="1:13" ht="20.25" x14ac:dyDescent="0.2">
      <c r="A79" s="18"/>
    </row>
    <row r="80" spans="1:13" ht="20.25" x14ac:dyDescent="0.2">
      <c r="A80" s="18"/>
    </row>
    <row r="81" spans="1:1" ht="20.25" x14ac:dyDescent="0.2">
      <c r="A81" s="18"/>
    </row>
    <row r="82" spans="1:1" ht="20.25" x14ac:dyDescent="0.3">
      <c r="A82" s="5"/>
    </row>
    <row r="83" spans="1:1" ht="20.25" x14ac:dyDescent="0.2">
      <c r="A83" s="45"/>
    </row>
  </sheetData>
  <sheetProtection formatCells="0" formatColumns="0" formatRows="0" insertColumns="0" insertRows="0" insertHyperlinks="0" deleteColumns="0" deleteRows="0" sort="0" autoFilter="0" pivotTables="0"/>
  <mergeCells count="172">
    <mergeCell ref="A30:A34"/>
    <mergeCell ref="B30:C34"/>
    <mergeCell ref="E30:E34"/>
    <mergeCell ref="H30:H34"/>
    <mergeCell ref="I30:L30"/>
    <mergeCell ref="F31:F32"/>
    <mergeCell ref="F33:F34"/>
    <mergeCell ref="B21:C22"/>
    <mergeCell ref="A21:A22"/>
    <mergeCell ref="G21:G22"/>
    <mergeCell ref="A24:A25"/>
    <mergeCell ref="D21:D22"/>
    <mergeCell ref="H21:H22"/>
    <mergeCell ref="I21:J22"/>
    <mergeCell ref="K21:L22"/>
    <mergeCell ref="B23:C23"/>
    <mergeCell ref="I24:L24"/>
    <mergeCell ref="I23:L23"/>
    <mergeCell ref="B24:C25"/>
    <mergeCell ref="G24:G25"/>
    <mergeCell ref="E24:E25"/>
    <mergeCell ref="H24:H25"/>
    <mergeCell ref="I25:L25"/>
    <mergeCell ref="G26:G27"/>
    <mergeCell ref="E19:E20"/>
    <mergeCell ref="B3:B4"/>
    <mergeCell ref="C3:C4"/>
    <mergeCell ref="A19:A20"/>
    <mergeCell ref="I3:L3"/>
    <mergeCell ref="I4:L4"/>
    <mergeCell ref="I5:L5"/>
    <mergeCell ref="D3:H4"/>
    <mergeCell ref="B15:B16"/>
    <mergeCell ref="D9:H10"/>
    <mergeCell ref="C9:C10"/>
    <mergeCell ref="B9:B10"/>
    <mergeCell ref="A9:A10"/>
    <mergeCell ref="I9:L9"/>
    <mergeCell ref="A15:A16"/>
    <mergeCell ref="A13:A14"/>
    <mergeCell ref="I10:J10"/>
    <mergeCell ref="K10:L10"/>
    <mergeCell ref="D11:H12"/>
    <mergeCell ref="D15:H16"/>
    <mergeCell ref="B13:B14"/>
    <mergeCell ref="D13:H14"/>
    <mergeCell ref="I11:L11"/>
    <mergeCell ref="F19:F20"/>
    <mergeCell ref="H26:H27"/>
    <mergeCell ref="I26:L26"/>
    <mergeCell ref="I46:L46"/>
    <mergeCell ref="B45:C46"/>
    <mergeCell ref="I32:L32"/>
    <mergeCell ref="I34:L34"/>
    <mergeCell ref="I31:L31"/>
    <mergeCell ref="D33:D34"/>
    <mergeCell ref="B28:C28"/>
    <mergeCell ref="D31:D32"/>
    <mergeCell ref="I33:L33"/>
    <mergeCell ref="B29:C29"/>
    <mergeCell ref="I29:L29"/>
    <mergeCell ref="D45:D46"/>
    <mergeCell ref="I41:L41"/>
    <mergeCell ref="I36:J36"/>
    <mergeCell ref="K35:L36"/>
    <mergeCell ref="I35:J35"/>
    <mergeCell ref="I43:J43"/>
    <mergeCell ref="I27:L27"/>
    <mergeCell ref="E26:E27"/>
    <mergeCell ref="I28:L28"/>
    <mergeCell ref="E35:E36"/>
    <mergeCell ref="D35:D36"/>
    <mergeCell ref="I19:J20"/>
    <mergeCell ref="K19:L20"/>
    <mergeCell ref="G1:L1"/>
    <mergeCell ref="D2:G2"/>
    <mergeCell ref="D5:H8"/>
    <mergeCell ref="K6:L6"/>
    <mergeCell ref="K2:L2"/>
    <mergeCell ref="G19:G20"/>
    <mergeCell ref="H19:H20"/>
    <mergeCell ref="K14:L14"/>
    <mergeCell ref="I6:J6"/>
    <mergeCell ref="I12:J12"/>
    <mergeCell ref="I15:J15"/>
    <mergeCell ref="K15:L15"/>
    <mergeCell ref="I16:J16"/>
    <mergeCell ref="K16:L16"/>
    <mergeCell ref="K12:L12"/>
    <mergeCell ref="I13:J13"/>
    <mergeCell ref="K13:L13"/>
    <mergeCell ref="I14:J14"/>
    <mergeCell ref="A17:L17"/>
    <mergeCell ref="A5:A8"/>
    <mergeCell ref="I18:L18"/>
    <mergeCell ref="B5:B8"/>
    <mergeCell ref="C5:C8"/>
    <mergeCell ref="B18:C18"/>
    <mergeCell ref="A11:C12"/>
    <mergeCell ref="A3:A4"/>
    <mergeCell ref="A68:A69"/>
    <mergeCell ref="A58:B58"/>
    <mergeCell ref="A59:B59"/>
    <mergeCell ref="A26:A27"/>
    <mergeCell ref="A45:A46"/>
    <mergeCell ref="B51:C51"/>
    <mergeCell ref="A54:B54"/>
    <mergeCell ref="A57:B57"/>
    <mergeCell ref="A55:B55"/>
    <mergeCell ref="C55:D55"/>
    <mergeCell ref="C57:D57"/>
    <mergeCell ref="D51:D52"/>
    <mergeCell ref="A35:A36"/>
    <mergeCell ref="B35:C36"/>
    <mergeCell ref="A61:E61"/>
    <mergeCell ref="B19:C19"/>
    <mergeCell ref="B20:C20"/>
    <mergeCell ref="D19:D20"/>
    <mergeCell ref="B26:C27"/>
    <mergeCell ref="A63:B63"/>
    <mergeCell ref="A37:A42"/>
    <mergeCell ref="H37:H39"/>
    <mergeCell ref="E37:E39"/>
    <mergeCell ref="I37:L37"/>
    <mergeCell ref="I38:L38"/>
    <mergeCell ref="E40:E41"/>
    <mergeCell ref="D42:L42"/>
    <mergeCell ref="B37:C42"/>
    <mergeCell ref="B43:C44"/>
    <mergeCell ref="I39:L39"/>
    <mergeCell ref="I40:L40"/>
    <mergeCell ref="H40:H41"/>
    <mergeCell ref="I44:J44"/>
    <mergeCell ref="K43:L44"/>
    <mergeCell ref="A43:A44"/>
    <mergeCell ref="D43:D44"/>
    <mergeCell ref="E43:E44"/>
    <mergeCell ref="E45:E46"/>
    <mergeCell ref="F45:F46"/>
    <mergeCell ref="H45:H46"/>
    <mergeCell ref="B49:C49"/>
    <mergeCell ref="B48:C48"/>
    <mergeCell ref="E54:L54"/>
    <mergeCell ref="K47:L47"/>
    <mergeCell ref="I48:L48"/>
    <mergeCell ref="E55:H55"/>
    <mergeCell ref="E50:H50"/>
    <mergeCell ref="I49:L49"/>
    <mergeCell ref="I50:L50"/>
    <mergeCell ref="C54:D54"/>
    <mergeCell ref="I45:L45"/>
    <mergeCell ref="I61:L61"/>
    <mergeCell ref="E59:F59"/>
    <mergeCell ref="E58:L58"/>
    <mergeCell ref="E56:I56"/>
    <mergeCell ref="B47:C47"/>
    <mergeCell ref="I47:J47"/>
    <mergeCell ref="B52:C52"/>
    <mergeCell ref="B50:C50"/>
    <mergeCell ref="I52:L52"/>
    <mergeCell ref="I51:L51"/>
    <mergeCell ref="A60:B60"/>
    <mergeCell ref="C60:D60"/>
    <mergeCell ref="E60:G60"/>
    <mergeCell ref="J55:L57"/>
    <mergeCell ref="G59:H59"/>
    <mergeCell ref="J59:L59"/>
    <mergeCell ref="A56:B56"/>
    <mergeCell ref="C56:D56"/>
    <mergeCell ref="E57:I57"/>
    <mergeCell ref="C58:D58"/>
    <mergeCell ref="C59:D59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32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2E51-56BA-4E62-B917-DF06917A6128}">
  <sheetPr>
    <tabColor theme="9"/>
  </sheetPr>
  <dimension ref="A1:AG190"/>
  <sheetViews>
    <sheetView showGridLines="0" zoomScale="85" zoomScaleNormal="85" zoomScaleSheetLayoutView="50" zoomScalePageLayoutView="55" workbookViewId="0">
      <pane ySplit="14" topLeftCell="A15" activePane="bottomLeft" state="frozen"/>
      <selection activeCell="J57" sqref="J57"/>
      <selection pane="bottomLeft"/>
    </sheetView>
  </sheetViews>
  <sheetFormatPr defaultColWidth="0" defaultRowHeight="12.75" x14ac:dyDescent="0.2"/>
  <cols>
    <col min="1" max="1" width="55.7109375" style="1079" customWidth="1"/>
    <col min="2" max="2" width="14" style="1079" customWidth="1"/>
    <col min="3" max="3" width="13.140625" style="1079" customWidth="1"/>
    <col min="4" max="4" width="15.5703125" style="1079" customWidth="1"/>
    <col min="5" max="6" width="14.42578125" style="1079" customWidth="1"/>
    <col min="7" max="7" width="12.5703125" style="1079" customWidth="1"/>
    <col min="8" max="8" width="13.5703125" style="1079" customWidth="1"/>
    <col min="9" max="9" width="14.85546875" style="1079" customWidth="1"/>
    <col min="10" max="10" width="25.28515625" style="1079" customWidth="1"/>
    <col min="11" max="11" width="15.42578125" style="1079" hidden="1" customWidth="1"/>
    <col min="12" max="12" width="9" style="1079" hidden="1" customWidth="1"/>
    <col min="13" max="13" width="13.85546875" style="1079" hidden="1" customWidth="1"/>
    <col min="14" max="14" width="10.85546875" style="1079" hidden="1" customWidth="1"/>
    <col min="15" max="33" width="0" style="1079" hidden="1" customWidth="1"/>
    <col min="34" max="16384" width="9.140625" style="1079" hidden="1"/>
  </cols>
  <sheetData>
    <row r="1" spans="1:11" x14ac:dyDescent="0.2">
      <c r="A1" s="1074">
        <v>45875</v>
      </c>
      <c r="B1" s="1075"/>
      <c r="C1" s="1075"/>
      <c r="D1" s="1075"/>
      <c r="E1" s="1076"/>
      <c r="F1" s="1076"/>
      <c r="H1" s="1080"/>
      <c r="I1" s="1081"/>
    </row>
    <row r="2" spans="1:11" ht="27" customHeight="1" thickBot="1" x14ac:dyDescent="0.25">
      <c r="A2" s="1083" t="s">
        <v>1072</v>
      </c>
      <c r="B2" s="1083"/>
      <c r="C2" s="1083"/>
      <c r="D2" s="1083"/>
      <c r="E2" s="1083"/>
      <c r="F2" s="1083"/>
      <c r="G2" s="1083"/>
      <c r="H2" s="1083"/>
      <c r="I2" s="1083"/>
      <c r="K2" s="1081"/>
    </row>
    <row r="3" spans="1:11" ht="16.5" customHeight="1" x14ac:dyDescent="0.2">
      <c r="A3" s="1084"/>
      <c r="B3" s="1085"/>
      <c r="H3" s="1086"/>
      <c r="I3" s="1086"/>
      <c r="J3" s="1087"/>
      <c r="K3" s="1087"/>
    </row>
    <row r="4" spans="1:11" ht="16.5" customHeight="1" x14ac:dyDescent="0.2">
      <c r="A4" s="2510" t="s">
        <v>1073</v>
      </c>
      <c r="B4" s="2496" t="s">
        <v>943</v>
      </c>
      <c r="C4" s="2496"/>
      <c r="D4" s="2496"/>
      <c r="E4" s="2496"/>
      <c r="F4" s="2496"/>
      <c r="G4" s="2496"/>
      <c r="H4" s="2496"/>
      <c r="I4" s="2496"/>
      <c r="J4" s="1087"/>
      <c r="K4" s="1087"/>
    </row>
    <row r="5" spans="1:11" ht="16.5" customHeight="1" x14ac:dyDescent="0.2">
      <c r="A5" s="2510"/>
      <c r="B5" s="2511" t="s">
        <v>944</v>
      </c>
      <c r="C5" s="2511"/>
      <c r="D5" s="2511" t="s">
        <v>945</v>
      </c>
      <c r="E5" s="2511"/>
      <c r="F5" s="2511" t="s">
        <v>946</v>
      </c>
      <c r="G5" s="2511"/>
      <c r="H5" s="2511" t="s">
        <v>947</v>
      </c>
      <c r="I5" s="2511"/>
      <c r="J5" s="1087"/>
      <c r="K5" s="1087"/>
    </row>
    <row r="6" spans="1:11" ht="17.25" customHeight="1" x14ac:dyDescent="0.2">
      <c r="A6" s="1090" t="s">
        <v>951</v>
      </c>
      <c r="B6" s="2509">
        <v>0</v>
      </c>
      <c r="C6" s="2509"/>
      <c r="D6" s="2507">
        <v>0</v>
      </c>
      <c r="E6" s="2508"/>
      <c r="F6" s="2507">
        <v>0</v>
      </c>
      <c r="G6" s="2508"/>
      <c r="H6" s="2507">
        <v>0</v>
      </c>
      <c r="I6" s="2508"/>
      <c r="J6" s="1085" t="s">
        <v>950</v>
      </c>
      <c r="K6" s="1087"/>
    </row>
    <row r="7" spans="1:11" ht="17.25" customHeight="1" x14ac:dyDescent="0.2">
      <c r="A7" s="1090" t="s">
        <v>952</v>
      </c>
      <c r="B7" s="2509">
        <v>0</v>
      </c>
      <c r="C7" s="2509"/>
      <c r="D7" s="2509">
        <v>0</v>
      </c>
      <c r="E7" s="2509"/>
      <c r="F7" s="2509">
        <v>0</v>
      </c>
      <c r="G7" s="2509"/>
      <c r="H7" s="2509">
        <v>0</v>
      </c>
      <c r="I7" s="2509"/>
      <c r="J7" s="1085" t="s">
        <v>953</v>
      </c>
      <c r="K7" s="1087"/>
    </row>
    <row r="8" spans="1:11" ht="17.25" customHeight="1" x14ac:dyDescent="0.2">
      <c r="A8" s="1090" t="s">
        <v>954</v>
      </c>
      <c r="B8" s="2509">
        <v>0</v>
      </c>
      <c r="C8" s="2509"/>
      <c r="D8" s="2509">
        <v>0</v>
      </c>
      <c r="E8" s="2509"/>
      <c r="F8" s="2509">
        <v>0</v>
      </c>
      <c r="G8" s="2509"/>
      <c r="H8" s="2509">
        <v>0</v>
      </c>
      <c r="I8" s="2509"/>
      <c r="J8" s="1085" t="s">
        <v>955</v>
      </c>
      <c r="K8" s="1087"/>
    </row>
    <row r="9" spans="1:11" ht="17.25" customHeight="1" x14ac:dyDescent="0.2">
      <c r="A9" s="1089" t="s">
        <v>956</v>
      </c>
      <c r="B9" s="2509">
        <v>0</v>
      </c>
      <c r="C9" s="2509"/>
      <c r="D9" s="2509">
        <v>0</v>
      </c>
      <c r="E9" s="2509"/>
      <c r="F9" s="2509">
        <v>0</v>
      </c>
      <c r="G9" s="2509"/>
      <c r="H9" s="2509">
        <v>0</v>
      </c>
      <c r="I9" s="2509"/>
      <c r="J9" s="1085" t="s">
        <v>955</v>
      </c>
      <c r="K9" s="1087"/>
    </row>
    <row r="10" spans="1:11" ht="17.25" customHeight="1" x14ac:dyDescent="0.2">
      <c r="A10" s="1089" t="s">
        <v>1010</v>
      </c>
      <c r="B10" s="2509">
        <v>0</v>
      </c>
      <c r="C10" s="2509"/>
      <c r="D10" s="2509">
        <v>0</v>
      </c>
      <c r="E10" s="2509"/>
      <c r="F10" s="2509">
        <v>0</v>
      </c>
      <c r="G10" s="2509"/>
      <c r="H10" s="2509">
        <v>0</v>
      </c>
      <c r="I10" s="2509"/>
      <c r="J10" s="1085" t="s">
        <v>955</v>
      </c>
      <c r="K10" s="1087"/>
    </row>
    <row r="11" spans="1:11" ht="17.25" customHeight="1" x14ac:dyDescent="0.2">
      <c r="A11" s="1090" t="s">
        <v>958</v>
      </c>
      <c r="B11" s="2509" t="s">
        <v>959</v>
      </c>
      <c r="C11" s="2509"/>
      <c r="D11" s="2509" t="s">
        <v>959</v>
      </c>
      <c r="E11" s="2509"/>
      <c r="F11" s="2509" t="s">
        <v>959</v>
      </c>
      <c r="G11" s="2509"/>
      <c r="H11" s="2509" t="s">
        <v>959</v>
      </c>
      <c r="I11" s="2509"/>
      <c r="J11" s="1085" t="s">
        <v>950</v>
      </c>
      <c r="K11" s="1087"/>
    </row>
    <row r="12" spans="1:11" ht="17.25" customHeight="1" x14ac:dyDescent="0.2">
      <c r="A12" s="1090" t="s">
        <v>1074</v>
      </c>
      <c r="B12" s="2507" t="s">
        <v>959</v>
      </c>
      <c r="C12" s="2508"/>
      <c r="D12" s="2507" t="s">
        <v>959</v>
      </c>
      <c r="E12" s="2508"/>
      <c r="F12" s="2507" t="s">
        <v>959</v>
      </c>
      <c r="G12" s="2508"/>
      <c r="H12" s="2507" t="s">
        <v>959</v>
      </c>
      <c r="I12" s="2508"/>
      <c r="J12" s="1085" t="s">
        <v>950</v>
      </c>
      <c r="K12" s="1087"/>
    </row>
    <row r="13" spans="1:11" ht="29.25" customHeight="1" x14ac:dyDescent="0.2">
      <c r="A13" s="1090" t="s">
        <v>1075</v>
      </c>
      <c r="B13" s="2505" t="s">
        <v>959</v>
      </c>
      <c r="C13" s="2506"/>
      <c r="D13" s="2505" t="s">
        <v>959</v>
      </c>
      <c r="E13" s="2506"/>
      <c r="F13" s="2505" t="s">
        <v>959</v>
      </c>
      <c r="G13" s="2506"/>
      <c r="H13" s="2505" t="s">
        <v>959</v>
      </c>
      <c r="I13" s="2506"/>
      <c r="J13" s="1085" t="s">
        <v>950</v>
      </c>
      <c r="K13" s="1087"/>
    </row>
    <row r="14" spans="1:11" ht="17.25" customHeight="1" x14ac:dyDescent="0.2">
      <c r="A14" s="1090" t="s">
        <v>963</v>
      </c>
      <c r="B14" s="2505" t="s">
        <v>18</v>
      </c>
      <c r="C14" s="2506"/>
      <c r="D14" s="2505" t="s">
        <v>18</v>
      </c>
      <c r="E14" s="2506"/>
      <c r="F14" s="2505" t="s">
        <v>18</v>
      </c>
      <c r="G14" s="2506"/>
      <c r="H14" s="2505" t="s">
        <v>18</v>
      </c>
      <c r="I14" s="2506"/>
      <c r="J14" s="1085" t="s">
        <v>950</v>
      </c>
      <c r="K14" s="1087"/>
    </row>
    <row r="15" spans="1:11" ht="45.75" customHeight="1" x14ac:dyDescent="0.2">
      <c r="A15" s="1170" t="str">
        <f>IF(OR(B7&gt;2.5,D7&gt;2.5,F7&gt;2.5,H7&gt;2.5),"Секции более 2,5 метров не рекомендуются. Продажа осуществляется по подписанной спецификации клиента","")</f>
        <v/>
      </c>
      <c r="B15" s="2495" t="s">
        <v>966</v>
      </c>
      <c r="C15" s="2495"/>
      <c r="D15" s="2495"/>
      <c r="E15" s="2495"/>
      <c r="F15" s="2495"/>
      <c r="G15" s="2495"/>
      <c r="H15" s="2495"/>
      <c r="I15" s="2495"/>
      <c r="J15" s="1087"/>
      <c r="K15" s="1087"/>
    </row>
    <row r="16" spans="1:11" ht="16.5" customHeight="1" x14ac:dyDescent="0.2">
      <c r="A16" s="2496" t="s">
        <v>1076</v>
      </c>
      <c r="B16" s="2497" t="s">
        <v>968</v>
      </c>
      <c r="C16" s="2498"/>
      <c r="D16" s="2498" t="s">
        <v>969</v>
      </c>
      <c r="E16" s="2498"/>
      <c r="F16" s="2498" t="s">
        <v>970</v>
      </c>
      <c r="G16" s="2498"/>
      <c r="H16" s="2498" t="s">
        <v>971</v>
      </c>
      <c r="I16" s="2499"/>
      <c r="K16" s="1087"/>
    </row>
    <row r="17" spans="1:11" ht="16.5" customHeight="1" x14ac:dyDescent="0.2">
      <c r="A17" s="2496"/>
      <c r="B17" s="1088" t="s">
        <v>972</v>
      </c>
      <c r="C17" s="1093" t="s">
        <v>973</v>
      </c>
      <c r="D17" s="1094" t="s">
        <v>972</v>
      </c>
      <c r="E17" s="1093" t="s">
        <v>973</v>
      </c>
      <c r="F17" s="1094" t="s">
        <v>972</v>
      </c>
      <c r="G17" s="1093" t="s">
        <v>973</v>
      </c>
      <c r="H17" s="1094" t="s">
        <v>972</v>
      </c>
      <c r="I17" s="1088" t="s">
        <v>973</v>
      </c>
      <c r="K17" s="1087"/>
    </row>
    <row r="18" spans="1:11" ht="16.5" customHeight="1" x14ac:dyDescent="0.2">
      <c r="A18" s="1095" t="s">
        <v>974</v>
      </c>
      <c r="B18" s="1095"/>
      <c r="C18" s="1096"/>
      <c r="D18" s="1097"/>
      <c r="E18" s="1098"/>
      <c r="F18" s="1097"/>
      <c r="G18" s="1098"/>
      <c r="H18" s="1097"/>
      <c r="I18" s="1099"/>
      <c r="K18" s="1087"/>
    </row>
    <row r="19" spans="1:11" ht="16.5" customHeight="1" x14ac:dyDescent="0.2">
      <c r="A19" s="1100" t="s">
        <v>1077</v>
      </c>
      <c r="B19" s="1101">
        <f>IF(B7=0,0,B7)</f>
        <v>0</v>
      </c>
      <c r="C19" s="1102">
        <f>IF(B19=0,0,VLOOKUP(B6,Данные1!$A$165:$B$191,2,FALSE)*B8)</f>
        <v>0</v>
      </c>
      <c r="D19" s="1108">
        <f>IF(D7=0,0,D7)</f>
        <v>0</v>
      </c>
      <c r="E19" s="1102">
        <f>IF(D19=0,0,VLOOKUP(D6,Данные1!$A$165:$B$191,2,FALSE)*D8)</f>
        <v>0</v>
      </c>
      <c r="F19" s="1108">
        <f>IF(F7=0,0,F7)</f>
        <v>0</v>
      </c>
      <c r="G19" s="1102">
        <f>IF(F19=0,0,VLOOKUP(F6,Данные1!$A$165:$B$191,2,FALSE)*F8)</f>
        <v>0</v>
      </c>
      <c r="H19" s="1108">
        <f>IF(H7=0,0,H7)</f>
        <v>0</v>
      </c>
      <c r="I19" s="1103">
        <f>IF(H19=0,0,VLOOKUP(H6,Данные1!$A$165:$B$191,2,FALSE)*H8)</f>
        <v>0</v>
      </c>
      <c r="K19" s="1087"/>
    </row>
    <row r="20" spans="1:11" ht="16.5" customHeight="1" x14ac:dyDescent="0.2">
      <c r="A20" s="1100" t="s">
        <v>1078</v>
      </c>
      <c r="B20" s="1101">
        <f>IF(B6=0,0,B6)</f>
        <v>0</v>
      </c>
      <c r="C20" s="1102">
        <f>IF(B20=0,0,2*B8)</f>
        <v>0</v>
      </c>
      <c r="D20" s="1101">
        <f>IF(D6=0,0,D6)</f>
        <v>0</v>
      </c>
      <c r="E20" s="1102">
        <f>IF(D20=0,0,2*D8)</f>
        <v>0</v>
      </c>
      <c r="F20" s="1101">
        <f>IF(F6=0,0,F6)</f>
        <v>0</v>
      </c>
      <c r="G20" s="1102">
        <f>IF(F20=0,0,2*F8)</f>
        <v>0</v>
      </c>
      <c r="H20" s="1101">
        <f>IF(H6=0,0,H6)</f>
        <v>0</v>
      </c>
      <c r="I20" s="1103">
        <f>IF(H20=0,0,2*H8)</f>
        <v>0</v>
      </c>
      <c r="K20" s="1087"/>
    </row>
    <row r="21" spans="1:11" ht="16.5" customHeight="1" x14ac:dyDescent="0.2">
      <c r="A21" s="1100" t="s">
        <v>1079</v>
      </c>
      <c r="B21" s="1101">
        <f>IF(B7=0,0,B7)</f>
        <v>0</v>
      </c>
      <c r="C21" s="1102">
        <f>IF(B21=0,0,2*B8)</f>
        <v>0</v>
      </c>
      <c r="D21" s="1101">
        <f>IF(D7=0,0,D7)</f>
        <v>0</v>
      </c>
      <c r="E21" s="1102">
        <f>IF(D21=0,0,2*D8)</f>
        <v>0</v>
      </c>
      <c r="F21" s="1101">
        <f>IF(F7=0,0,F7)</f>
        <v>0</v>
      </c>
      <c r="G21" s="1102">
        <f>IF(F21=0,0,2*F8)</f>
        <v>0</v>
      </c>
      <c r="H21" s="1101">
        <f>IF(H7=0,0,H7)</f>
        <v>0</v>
      </c>
      <c r="I21" s="1103">
        <f>IF(H21=0,0,2*H8)</f>
        <v>0</v>
      </c>
      <c r="K21" s="1087"/>
    </row>
    <row r="22" spans="1:11" ht="16.5" customHeight="1" x14ac:dyDescent="0.2">
      <c r="A22" s="1100" t="s">
        <v>1080</v>
      </c>
      <c r="B22" s="1101">
        <f t="shared" ref="B22:I22" si="0">B21</f>
        <v>0</v>
      </c>
      <c r="C22" s="1102">
        <f t="shared" si="0"/>
        <v>0</v>
      </c>
      <c r="D22" s="1101">
        <f t="shared" si="0"/>
        <v>0</v>
      </c>
      <c r="E22" s="1102">
        <f t="shared" si="0"/>
        <v>0</v>
      </c>
      <c r="F22" s="1101">
        <f t="shared" si="0"/>
        <v>0</v>
      </c>
      <c r="G22" s="1102">
        <f t="shared" si="0"/>
        <v>0</v>
      </c>
      <c r="H22" s="1101">
        <f t="shared" si="0"/>
        <v>0</v>
      </c>
      <c r="I22" s="1103">
        <f t="shared" si="0"/>
        <v>0</v>
      </c>
      <c r="K22" s="1087"/>
    </row>
    <row r="23" spans="1:11" ht="16.5" customHeight="1" x14ac:dyDescent="0.2">
      <c r="A23" s="1100" t="s">
        <v>1081</v>
      </c>
      <c r="B23" s="1101">
        <f>IF(B6=0,0,B6-0.1)</f>
        <v>0</v>
      </c>
      <c r="C23" s="1102">
        <f>IF(B23=0,0,IF(AND(B7&gt;0,OR(B7&lt;1.5,B7=1.5)),3*B8,IF(AND(B7&gt;1.5,OR(B7&lt;2.2,B7=2.2)),4*B8,IF(AND(B7&gt;2.21,OR(B7&lt;3,B7=3)),5*B8,0))))</f>
        <v>0</v>
      </c>
      <c r="D23" s="1101">
        <f>IF(D6=0,0,D6-0.1)</f>
        <v>0</v>
      </c>
      <c r="E23" s="1102">
        <f>IF(D23=0,0,IF(AND(D7&gt;0,OR(D7&lt;1.5,D7=1.5)),3*D8,IF(AND(D7&gt;1.5,OR(D7&lt;2.2,D7=2.2)),4*D8,IF(AND(D7&gt;2.2,OR(D7&lt;3,D7=3)),5*D8,0))))</f>
        <v>0</v>
      </c>
      <c r="F23" s="1101">
        <f>IF(F6=0,0,F6-0.1)</f>
        <v>0</v>
      </c>
      <c r="G23" s="1102">
        <f>IF(F23=0,0,IF(AND(F7&gt;0,OR(F7&lt;1.5,F7=1.5)),3*F8,IF(AND(F7&gt;1.5,OR(F7&lt;2.2,F7=2.2)),4*F8,IF(AND(F7&gt;2.2,OR(F7&lt;3,F7=3)),5*F8,0))))</f>
        <v>0</v>
      </c>
      <c r="H23" s="1101">
        <f>IF(H6=0,0,H6-0.1)</f>
        <v>0</v>
      </c>
      <c r="I23" s="1103">
        <f>IF(H23=0,0,IF(AND(H7&gt;0,OR(H7&lt;1.5,H7=1.5)),3*H8,IF(AND(H7&gt;1.5,OR(H7&lt;2.2,H7=2.2)),4*H8,IF(AND(H7&gt;2.2,OR(H7&lt;3,H7=3)),5*H8,0))))</f>
        <v>0</v>
      </c>
      <c r="K23" s="1087"/>
    </row>
    <row r="24" spans="1:11" ht="16.5" customHeight="1" x14ac:dyDescent="0.2">
      <c r="A24" s="1100" t="s">
        <v>1082</v>
      </c>
      <c r="B24" s="1101">
        <f t="shared" ref="B24:I24" si="1">B23</f>
        <v>0</v>
      </c>
      <c r="C24" s="1102">
        <f t="shared" si="1"/>
        <v>0</v>
      </c>
      <c r="D24" s="1101">
        <f t="shared" si="1"/>
        <v>0</v>
      </c>
      <c r="E24" s="1102">
        <f t="shared" si="1"/>
        <v>0</v>
      </c>
      <c r="F24" s="1101">
        <f t="shared" si="1"/>
        <v>0</v>
      </c>
      <c r="G24" s="1102">
        <f t="shared" si="1"/>
        <v>0</v>
      </c>
      <c r="H24" s="1101">
        <f t="shared" si="1"/>
        <v>0</v>
      </c>
      <c r="I24" s="1103">
        <f t="shared" si="1"/>
        <v>0</v>
      </c>
      <c r="K24" s="1087"/>
    </row>
    <row r="25" spans="1:11" ht="16.5" customHeight="1" x14ac:dyDescent="0.2">
      <c r="A25" s="1100" t="s">
        <v>1083</v>
      </c>
      <c r="B25" s="1101">
        <f>IF(B7=0,0,B7)</f>
        <v>0</v>
      </c>
      <c r="C25" s="1102">
        <f>IF(B25=0,0,B8)</f>
        <v>0</v>
      </c>
      <c r="D25" s="1101">
        <f>IF(D7=0,0,D7)</f>
        <v>0</v>
      </c>
      <c r="E25" s="1102">
        <f>IF(D25=0,0,D8)</f>
        <v>0</v>
      </c>
      <c r="F25" s="1101">
        <f>IF(F7=0,0,F7)</f>
        <v>0</v>
      </c>
      <c r="G25" s="1102">
        <f>IF(F25=0,0,F8)</f>
        <v>0</v>
      </c>
      <c r="H25" s="1101">
        <f>IF(H7=0,0,H7)</f>
        <v>0</v>
      </c>
      <c r="I25" s="1103">
        <f>IF(H25=0,0,H8)</f>
        <v>0</v>
      </c>
      <c r="K25" s="1087"/>
    </row>
    <row r="26" spans="1:11" ht="16.5" customHeight="1" x14ac:dyDescent="0.2">
      <c r="A26" s="1100" t="s">
        <v>976</v>
      </c>
      <c r="B26" s="1101">
        <f>IF(AND(B6&gt;0,B11="да"),0,B6)</f>
        <v>0</v>
      </c>
      <c r="C26" s="1102">
        <f>IF(B26=0,0,IF(B8=0,0,IF(B8=1,2*2,IF(B10=0,(B8+1)*2-C27,(B8+1+B10)*2-C27))))</f>
        <v>0</v>
      </c>
      <c r="D26" s="1108">
        <f>IF(AND(D6&gt;0,D11="да"),0,D6)</f>
        <v>0</v>
      </c>
      <c r="E26" s="1102">
        <f>IF(D26=0,0,IF(D8=0,0,IF(D8=1,2*2,IF(D10=0,(D8+1)*2-E27,(D8+1+D10)*2-E27))))</f>
        <v>0</v>
      </c>
      <c r="F26" s="1108">
        <f>IF(AND(F6&gt;0,F11="да"),0,F6)</f>
        <v>0</v>
      </c>
      <c r="G26" s="1102">
        <f>IF(F26=0,0,IF(F8=0,0,IF(F8=1,2*2,IF(F10=0,(F8+1)*2-G27,(F8+1+F10)*2-G27))))</f>
        <v>0</v>
      </c>
      <c r="H26" s="1108">
        <f>IF(AND(H6&gt;0,H11="да"),0,H6)</f>
        <v>0</v>
      </c>
      <c r="I26" s="1103">
        <f>IF(H26=0,0,IF(H8=0,0,IF(H8=1,2*2,IF(H10=0,(H8+1)*2-I27,(H8+1+H10)*2-I27))))</f>
        <v>0</v>
      </c>
      <c r="J26" s="1133"/>
      <c r="K26" s="1087"/>
    </row>
    <row r="27" spans="1:11" ht="16.5" customHeight="1" x14ac:dyDescent="0.2">
      <c r="A27" s="1100" t="s">
        <v>977</v>
      </c>
      <c r="B27" s="1101">
        <f>IF(OR(AND(B9=0,B10=0),B11="да"),0,B6)</f>
        <v>0</v>
      </c>
      <c r="C27" s="1102">
        <f>IF(B27=0,0,B9+B10*2)</f>
        <v>0</v>
      </c>
      <c r="D27" s="1108">
        <f>IF(OR(AND(D9=0,D10=0),D11="да"),0,D6)</f>
        <v>0</v>
      </c>
      <c r="E27" s="1102">
        <f>IF(D27=0,0,D9+D10*2)</f>
        <v>0</v>
      </c>
      <c r="F27" s="1108">
        <f>IF(OR(AND(F9=0,F10=0),F11="да"),0,F6)</f>
        <v>0</v>
      </c>
      <c r="G27" s="1102">
        <f>IF(F27=0,0,F9+F10*2)</f>
        <v>0</v>
      </c>
      <c r="H27" s="1108">
        <f>IF(OR(AND(H9=0,H10=0),H11="да"),0,H6)</f>
        <v>0</v>
      </c>
      <c r="I27" s="1103">
        <f>IF(H27=0,0,H9+H10*2)</f>
        <v>0</v>
      </c>
      <c r="K27" s="1087"/>
    </row>
    <row r="28" spans="1:11" ht="16.5" customHeight="1" x14ac:dyDescent="0.2">
      <c r="A28" s="1106" t="s">
        <v>979</v>
      </c>
      <c r="B28" s="1107" t="s">
        <v>18</v>
      </c>
      <c r="C28" s="1102">
        <f>IF(B11="да",0,(IF(B8=0,0,IF(B8=1,2,IF(B10=0,B8+1,B8+1+B10)))))</f>
        <v>0</v>
      </c>
      <c r="D28" s="1110" t="s">
        <v>18</v>
      </c>
      <c r="E28" s="1102">
        <f>IF(D11="да",0,(IF(D8=0,0,IF(D8=1,2,IF(D10=0,D8+1,D8+1+D10)))))</f>
        <v>0</v>
      </c>
      <c r="F28" s="1110" t="s">
        <v>18</v>
      </c>
      <c r="G28" s="1102">
        <f>IF(F11="да",0,(IF(F8=0,0,IF(F8=1,2,IF(F10=0,F8+1,F8+1+F10)))))</f>
        <v>0</v>
      </c>
      <c r="H28" s="1110" t="s">
        <v>18</v>
      </c>
      <c r="I28" s="1103">
        <f>IF(H11="да",0,(IF(H8=0,0,IF(H8=1,2,IF(H10=0,H8+1,H8+1+H10)))))</f>
        <v>0</v>
      </c>
      <c r="K28" s="1087"/>
    </row>
    <row r="29" spans="1:11" ht="16.5" customHeight="1" x14ac:dyDescent="0.2">
      <c r="A29" s="1109" t="s">
        <v>1048</v>
      </c>
      <c r="B29" s="1107" t="str">
        <f>IF(C29=0,"-","4,2х19")</f>
        <v>-</v>
      </c>
      <c r="C29" s="1102">
        <f>IF(B$8=0,0,IF(B$11="нет",ROUNDUP(B20/0.4,0)*C20,0)+ROUNDUP(B23/0.4,0)*B8*2)</f>
        <v>0</v>
      </c>
      <c r="D29" s="1107" t="str">
        <f>IF(E29=0,"-","4,2х19")</f>
        <v>-</v>
      </c>
      <c r="E29" s="1102">
        <f>IF(D$8=0,0,IF(D$11="нет",ROUNDUP(D20/0.4,0)*E20,0)+ROUNDUP(D23/0.4,0)*D8*2)</f>
        <v>0</v>
      </c>
      <c r="F29" s="1107" t="str">
        <f>IF(G29=0,"-","4,2х19")</f>
        <v>-</v>
      </c>
      <c r="G29" s="1102">
        <f>IF(F$8=0,0,IF(F$11="нет",ROUNDUP(F20/0.4,0)*G20,0)+ROUNDUP(F23/0.4,0)*F8*2)</f>
        <v>0</v>
      </c>
      <c r="H29" s="1107" t="str">
        <f>IF(I29=0,"-","4,2х19")</f>
        <v>-</v>
      </c>
      <c r="I29" s="1103">
        <f>IF(H$8=0,0,IF(H$11="нет",ROUNDUP(H20/0.4,0)*I20,0)+ROUNDUP(H23/0.4,0)*H8*2)</f>
        <v>0</v>
      </c>
      <c r="K29" s="1087"/>
    </row>
    <row r="30" spans="1:11" ht="16.5" customHeight="1" x14ac:dyDescent="0.2">
      <c r="A30" s="1100" t="s">
        <v>982</v>
      </c>
      <c r="B30" s="1107" t="str">
        <f>IF(C30=0,"-","4,2x16")</f>
        <v>-</v>
      </c>
      <c r="C30" s="1102">
        <f>IF(B$8=0,0,B$8*8+(C23-2*B$8)*2+4*C25+(C23-2*B$8)*2)+IF(AND(B7&gt;0,OR(B7&lt;1.5,B7=1.5)),ROUNDUP(C19/2,0),IF(AND(B7&gt;1.5,OR(B7&lt;2.2,B7=2.2)),C19*1,IF(AND(B7&gt;2.21,OR(B7&lt;3,B7=3)),ROUNDUP((C19/2*1+C19/2*2)/B$8,0)*B$8)))</f>
        <v>0</v>
      </c>
      <c r="D30" s="1107" t="str">
        <f>IF(E30=0,"-","4,2x16")</f>
        <v>-</v>
      </c>
      <c r="E30" s="1102">
        <f>IF(D$8=0,0,D$8*8+(E23-2*D$8)*2+4*E25+(E23-2*D$8)*2)+IF(AND(D7&gt;0,OR(D7&lt;1.5,D7=1.5)),ROUNDUP(E19/2,0),IF(AND(D7&gt;1.5,OR(D7&lt;2.2,D7=2.2)),E19*1,IF(AND(D7&gt;2.21,OR(D7&lt;3,D7=3)),ROUNDUP((E19/2*1+E19/2*2)/D$8,0)*D$8)))</f>
        <v>0</v>
      </c>
      <c r="F30" s="1107" t="str">
        <f>IF(G30=0,"-","4,2x16")</f>
        <v>-</v>
      </c>
      <c r="G30" s="1102">
        <f>IF(F$8=0,0,F$8*8+(G23-2*F$8)*2+4*G25+(G23-2*F$8)*2)+IF(AND(F7&gt;0,OR(F7&lt;1.5,F7=1.5)),ROUNDUP(G19/2,0),IF(AND(F7&gt;1.5,OR(F7&lt;2.2,F7=2.2)),G19*1,IF(AND(F7&gt;2.21,OR(F7&lt;3,F7=3)),ROUNDUP((G19/2*1+G19/2*2)/F$8,0)*F$8)))</f>
        <v>0</v>
      </c>
      <c r="H30" s="1107" t="str">
        <f>IF(I30=0,"-","4,2x16")</f>
        <v>-</v>
      </c>
      <c r="I30" s="1103">
        <f>IF(H$8=0,0,H$8*8+(I23-2*H$8)*2+4*I25+(I23-2*H$8)*2)+IF(AND(H7&gt;0,OR(H7&lt;1.5,H7=1.5)),ROUNDUP(I19/2,0),IF(AND(H7&gt;1.5,OR(H7&lt;2.2,H7=2.2)),I19*1,IF(AND(H7&gt;2.21,OR(H7&lt;3,H7=3)),ROUNDUP((I19/2*1+I19/2*2)/H$8,0)*H$8)))</f>
        <v>0</v>
      </c>
      <c r="K30" s="1087"/>
    </row>
    <row r="31" spans="1:11" ht="16.5" customHeight="1" x14ac:dyDescent="0.2">
      <c r="A31" s="1100" t="s">
        <v>983</v>
      </c>
      <c r="B31" s="1107" t="str">
        <f>IF(C31=0,"-","7,5x52")</f>
        <v>-</v>
      </c>
      <c r="C31" s="1102">
        <f>IF(B$8=0,0,IF(B$11="да",ROUNDUP(B20/0.4,0)*C20,0))</f>
        <v>0</v>
      </c>
      <c r="D31" s="1107" t="str">
        <f>IF(E31=0,"-","7,5x52")</f>
        <v>-</v>
      </c>
      <c r="E31" s="1102">
        <f>IF(D$8=0,0,IF(D$11="да",ROUNDUP(D20/0.4,0)*E20,0))</f>
        <v>0</v>
      </c>
      <c r="F31" s="1107" t="str">
        <f>IF(G31=0,"-","7,5x52")</f>
        <v>-</v>
      </c>
      <c r="G31" s="1102">
        <f>IF(F$8=0,0,IF(F$11="да",ROUNDUP(F20/0.4,0)*G20,0))</f>
        <v>0</v>
      </c>
      <c r="H31" s="1107" t="str">
        <f>IF(I31=0,"-","7,5x52")</f>
        <v>-</v>
      </c>
      <c r="I31" s="1103">
        <f>IF(H$8=0,0,IF(H$11="да",ROUNDUP(H20/0.4,0)*I20,0))</f>
        <v>0</v>
      </c>
      <c r="K31" s="1087"/>
    </row>
    <row r="32" spans="1:11" ht="16.5" customHeight="1" x14ac:dyDescent="0.2">
      <c r="A32" s="1100" t="s">
        <v>984</v>
      </c>
      <c r="B32" s="1107"/>
      <c r="C32" s="1102">
        <f>C31</f>
        <v>0</v>
      </c>
      <c r="D32" s="1124"/>
      <c r="E32" s="1102">
        <f>E31</f>
        <v>0</v>
      </c>
      <c r="F32" s="1124"/>
      <c r="G32" s="1102">
        <f>G31</f>
        <v>0</v>
      </c>
      <c r="H32" s="1124"/>
      <c r="I32" s="1103">
        <f>I31</f>
        <v>0</v>
      </c>
      <c r="K32" s="1087"/>
    </row>
    <row r="33" spans="1:11" ht="16.5" customHeight="1" x14ac:dyDescent="0.2">
      <c r="A33" s="1095" t="s">
        <v>986</v>
      </c>
      <c r="B33" s="1095"/>
      <c r="C33" s="1096"/>
      <c r="D33" s="1097"/>
      <c r="E33" s="1098"/>
      <c r="F33" s="1097"/>
      <c r="G33" s="1098"/>
      <c r="H33" s="1097"/>
      <c r="I33" s="1099"/>
      <c r="K33" s="1087"/>
    </row>
    <row r="34" spans="1:11" ht="16.5" customHeight="1" x14ac:dyDescent="0.2">
      <c r="A34" s="1100" t="str">
        <f>IF(B12="нет","-",B12)</f>
        <v>-</v>
      </c>
      <c r="B34" s="1119"/>
      <c r="C34" s="1102">
        <f>IF($B$12=$A34,1,0)</f>
        <v>0</v>
      </c>
      <c r="D34" s="1120"/>
      <c r="E34" s="1102"/>
      <c r="F34" s="1120"/>
      <c r="G34" s="1102"/>
      <c r="H34" s="1120"/>
      <c r="I34" s="1103"/>
      <c r="K34" s="1087"/>
    </row>
    <row r="35" spans="1:11" ht="16.5" customHeight="1" x14ac:dyDescent="0.2">
      <c r="A35" s="1100" t="str">
        <f>IF(D12="нет","-",D12)</f>
        <v>-</v>
      </c>
      <c r="B35" s="1119"/>
      <c r="C35" s="1102"/>
      <c r="D35" s="1120"/>
      <c r="E35" s="1102">
        <f>IF($D$12=$A35,1,0)</f>
        <v>0</v>
      </c>
      <c r="F35" s="1120"/>
      <c r="G35" s="1102"/>
      <c r="H35" s="1120"/>
      <c r="I35" s="1103"/>
      <c r="K35" s="1087"/>
    </row>
    <row r="36" spans="1:11" ht="16.5" customHeight="1" x14ac:dyDescent="0.2">
      <c r="A36" s="1100" t="str">
        <f>IF(F12="нет","-",F12)</f>
        <v>-</v>
      </c>
      <c r="B36" s="1119"/>
      <c r="C36" s="1102"/>
      <c r="D36" s="1120"/>
      <c r="E36" s="1102"/>
      <c r="F36" s="1120"/>
      <c r="G36" s="1102">
        <f>IF($F$12=$A36,1,0)</f>
        <v>0</v>
      </c>
      <c r="H36" s="1120"/>
      <c r="I36" s="1103"/>
      <c r="K36" s="1087"/>
    </row>
    <row r="37" spans="1:11" ht="16.5" customHeight="1" x14ac:dyDescent="0.2">
      <c r="A37" s="1100" t="str">
        <f>IF(H12="нет","-",H12)</f>
        <v>-</v>
      </c>
      <c r="B37" s="1119"/>
      <c r="C37" s="1102"/>
      <c r="D37" s="1120"/>
      <c r="E37" s="1102"/>
      <c r="F37" s="1120"/>
      <c r="G37" s="1102"/>
      <c r="H37" s="1120"/>
      <c r="I37" s="1103">
        <f>IF($H$12=$A37,1,0)</f>
        <v>0</v>
      </c>
      <c r="K37" s="1087"/>
    </row>
    <row r="38" spans="1:11" ht="16.5" customHeight="1" x14ac:dyDescent="0.2">
      <c r="A38" s="1095" t="s">
        <v>637</v>
      </c>
      <c r="B38" s="1095"/>
      <c r="C38" s="1096"/>
      <c r="D38" s="1097"/>
      <c r="E38" s="1098"/>
      <c r="F38" s="1097"/>
      <c r="G38" s="1098"/>
      <c r="H38" s="1097"/>
      <c r="I38" s="1099"/>
      <c r="K38" s="1087"/>
    </row>
    <row r="39" spans="1:11" ht="16.5" customHeight="1" x14ac:dyDescent="0.2">
      <c r="A39" s="1100" t="str">
        <f>IF(B13="нет","-",B13)</f>
        <v>-</v>
      </c>
      <c r="B39" s="1119"/>
      <c r="C39" s="1102">
        <f>IF(B$13=$A39,1,0)</f>
        <v>0</v>
      </c>
      <c r="D39" s="1120"/>
      <c r="E39" s="1102"/>
      <c r="F39" s="1120"/>
      <c r="G39" s="1102"/>
      <c r="H39" s="1120"/>
      <c r="I39" s="1103"/>
      <c r="K39" s="1087"/>
    </row>
    <row r="40" spans="1:11" ht="16.5" customHeight="1" x14ac:dyDescent="0.2">
      <c r="A40" s="1100" t="str">
        <f>IF(D13="нет","-",D13)</f>
        <v>-</v>
      </c>
      <c r="B40" s="1119"/>
      <c r="C40" s="1102"/>
      <c r="D40" s="1120"/>
      <c r="E40" s="1102">
        <f t="shared" ref="E40" si="2">IF(D$13=$A40,1,0)</f>
        <v>0</v>
      </c>
      <c r="F40" s="1120"/>
      <c r="G40" s="1102"/>
      <c r="H40" s="1120"/>
      <c r="I40" s="1103"/>
      <c r="K40" s="1087"/>
    </row>
    <row r="41" spans="1:11" ht="16.5" customHeight="1" x14ac:dyDescent="0.2">
      <c r="A41" s="1100" t="str">
        <f>IF(F13="нет","-",F13)</f>
        <v>-</v>
      </c>
      <c r="B41" s="1119"/>
      <c r="C41" s="1102"/>
      <c r="D41" s="1120"/>
      <c r="E41" s="1102"/>
      <c r="F41" s="1120"/>
      <c r="G41" s="1102">
        <f t="shared" ref="G41" si="3">IF(F$13=$A41,1,0)</f>
        <v>0</v>
      </c>
      <c r="H41" s="1120"/>
      <c r="I41" s="1103"/>
      <c r="K41" s="1087"/>
    </row>
    <row r="42" spans="1:11" ht="16.5" customHeight="1" x14ac:dyDescent="0.2">
      <c r="A42" s="1100" t="str">
        <f>IF(H13="нет","-",H13)</f>
        <v>-</v>
      </c>
      <c r="B42" s="1119"/>
      <c r="C42" s="1102"/>
      <c r="D42" s="1120"/>
      <c r="E42" s="1102"/>
      <c r="F42" s="1120"/>
      <c r="G42" s="1102"/>
      <c r="H42" s="1120"/>
      <c r="I42" s="1103">
        <f t="shared" ref="I42" si="4">IF(H$13=$A42,1,0)</f>
        <v>0</v>
      </c>
      <c r="K42" s="1087"/>
    </row>
    <row r="43" spans="1:11" ht="16.5" customHeight="1" x14ac:dyDescent="0.2">
      <c r="A43" s="1095" t="s">
        <v>987</v>
      </c>
      <c r="B43" s="1095"/>
      <c r="C43" s="1096"/>
      <c r="D43" s="1097"/>
      <c r="E43" s="1098"/>
      <c r="F43" s="1097"/>
      <c r="G43" s="1098"/>
      <c r="H43" s="1097"/>
      <c r="I43" s="1099"/>
      <c r="K43" s="1128"/>
    </row>
    <row r="44" spans="1:11" ht="16.5" customHeight="1" x14ac:dyDescent="0.2">
      <c r="A44" s="1100" t="s">
        <v>1077</v>
      </c>
      <c r="B44" s="1101" t="str">
        <f>IF(C44=0,"-",VLOOKUP(B12,Данные1!$A$195:$S$201,3,FALSE))</f>
        <v>-</v>
      </c>
      <c r="C44" s="1102">
        <f>VLOOKUP(B12,Данные1!$A$195:$S$201,2,FALSE)</f>
        <v>0</v>
      </c>
      <c r="D44" s="1108" t="str">
        <f>IF(E44=0,"-",VLOOKUP(D12,Данные1!$A$195:$S$201,3,FALSE))</f>
        <v>-</v>
      </c>
      <c r="E44" s="1102">
        <f>VLOOKUP(D12,Данные1!$A$195:$S$201,2,FALSE)</f>
        <v>0</v>
      </c>
      <c r="F44" s="1108" t="str">
        <f>IF(G44=0,"-",VLOOKUP(F12,Данные1!$A$195:$S$201,3,FALSE))</f>
        <v>-</v>
      </c>
      <c r="G44" s="1102">
        <f>VLOOKUP(F12,Данные1!$A$195:$S$201,2,FALSE)</f>
        <v>0</v>
      </c>
      <c r="H44" s="1108" t="str">
        <f>IF(I44=0,"-",VLOOKUP(H12,Данные1!$A$195:$S$201,3,FALSE))</f>
        <v>-</v>
      </c>
      <c r="I44" s="1103">
        <f>VLOOKUP(H12,Данные1!$A$195:$S$201,2,FALSE)</f>
        <v>0</v>
      </c>
      <c r="K44" s="1128"/>
    </row>
    <row r="45" spans="1:11" ht="16.5" customHeight="1" x14ac:dyDescent="0.2">
      <c r="A45" s="1100" t="s">
        <v>1084</v>
      </c>
      <c r="B45" s="1101" t="str">
        <f>IF(C45=0,"-",VLOOKUP(B12,Данные1!$A$195:$S$201,5,FALSE))</f>
        <v>-</v>
      </c>
      <c r="C45" s="1102">
        <f>VLOOKUP(B12,Данные1!$A$195:$S$201,4,FALSE)</f>
        <v>0</v>
      </c>
      <c r="D45" s="1108" t="str">
        <f>IF(E45=0,"-",VLOOKUP(D12,Данные1!$A$195:$S$201,5,FALSE))</f>
        <v>-</v>
      </c>
      <c r="E45" s="1102">
        <f>VLOOKUP(D12,Данные1!$A$195:$S$201,4,FALSE)</f>
        <v>0</v>
      </c>
      <c r="F45" s="1108" t="str">
        <f>IF(G45=0,"-",VLOOKUP(F12,Данные1!$A$195:$S$201,5,FALSE))</f>
        <v>-</v>
      </c>
      <c r="G45" s="1102">
        <f>VLOOKUP(F12,Данные1!$A$195:$S$201,4,FALSE)</f>
        <v>0</v>
      </c>
      <c r="H45" s="1108" t="str">
        <f>IF(I45=0,"-",VLOOKUP(H12,Данные1!$A$195:$S$201,5,FALSE))</f>
        <v>-</v>
      </c>
      <c r="I45" s="1103">
        <f>VLOOKUP(H12,Данные1!$A$195:$S$201,4,FALSE)</f>
        <v>0</v>
      </c>
      <c r="K45" s="1128"/>
    </row>
    <row r="46" spans="1:11" ht="16.5" customHeight="1" x14ac:dyDescent="0.2">
      <c r="A46" s="1100" t="s">
        <v>1078</v>
      </c>
      <c r="B46" s="1101">
        <f>VLOOKUP(B12,Данные1!$A$195:$S$201,7,FALSE)</f>
        <v>0</v>
      </c>
      <c r="C46" s="1102">
        <f>VLOOKUP(B12,Данные1!$A$195:$S$201,6,FALSE)</f>
        <v>0</v>
      </c>
      <c r="D46" s="1108">
        <f>VLOOKUP(D12,Данные1!$A$195:$S$201,7,FALSE)</f>
        <v>0</v>
      </c>
      <c r="E46" s="1102">
        <f>VLOOKUP(D12,Данные1!$A$195:$S$201,6,FALSE)</f>
        <v>0</v>
      </c>
      <c r="F46" s="1108">
        <f>VLOOKUP(F12,Данные1!$A$195:$S$201,7,FALSE)</f>
        <v>0</v>
      </c>
      <c r="G46" s="1102">
        <f>VLOOKUP(F12,Данные1!$A$195:$S$201,6,FALSE)</f>
        <v>0</v>
      </c>
      <c r="H46" s="1108">
        <f>VLOOKUP(H12,Данные1!$A$195:$S$201,7,FALSE)</f>
        <v>0</v>
      </c>
      <c r="I46" s="1103">
        <f>VLOOKUP(H12,Данные1!$A$195:$S$201,6,FALSE)</f>
        <v>0</v>
      </c>
      <c r="K46" s="1128"/>
    </row>
    <row r="47" spans="1:11" ht="16.5" customHeight="1" x14ac:dyDescent="0.2">
      <c r="A47" s="1100" t="s">
        <v>1085</v>
      </c>
      <c r="B47" s="1101">
        <f>VLOOKUP(B12,Данные1!$A$195:$S$201,9,FALSE)</f>
        <v>0</v>
      </c>
      <c r="C47" s="1102">
        <f>VLOOKUP(B12,Данные1!$A$195:$S$201,8,FALSE)</f>
        <v>0</v>
      </c>
      <c r="D47" s="1108">
        <f>VLOOKUP(D12,Данные1!$A$195:$S$201,9,FALSE)</f>
        <v>0</v>
      </c>
      <c r="E47" s="1102">
        <f>VLOOKUP(D12,Данные1!$A$195:$S$201,8,FALSE)</f>
        <v>0</v>
      </c>
      <c r="F47" s="1108">
        <f>VLOOKUP(F12,Данные1!$A$195:$S$201,9,FALSE)</f>
        <v>0</v>
      </c>
      <c r="G47" s="1102">
        <f>VLOOKUP(F12,Данные1!$A$195:$S$201,8,FALSE)</f>
        <v>0</v>
      </c>
      <c r="H47" s="1108">
        <f>VLOOKUP(H12,Данные1!$A$195:$S$201,9,FALSE)</f>
        <v>0</v>
      </c>
      <c r="I47" s="1103">
        <f>VLOOKUP(H12,Данные1!$A$195:$S$201,8,FALSE)</f>
        <v>0</v>
      </c>
      <c r="K47" s="1128"/>
    </row>
    <row r="48" spans="1:11" ht="16.5" customHeight="1" x14ac:dyDescent="0.2">
      <c r="A48" s="1100" t="s">
        <v>1086</v>
      </c>
      <c r="B48" s="1101">
        <f>VLOOKUP(B12,Данные1!$A$195:$S$201,11,FALSE)</f>
        <v>0</v>
      </c>
      <c r="C48" s="1102">
        <f>VLOOKUP(B12,Данные1!$A$195:$S$201,10,FALSE)</f>
        <v>0</v>
      </c>
      <c r="D48" s="1108">
        <f>VLOOKUP(D12,Данные1!$A$195:$S$201,11,FALSE)</f>
        <v>0</v>
      </c>
      <c r="E48" s="1102">
        <f>VLOOKUP(D12,Данные1!$A$195:$S$201,10,FALSE)</f>
        <v>0</v>
      </c>
      <c r="F48" s="1108">
        <f>VLOOKUP(F12,Данные1!$A$195:$S$201,11,FALSE)</f>
        <v>0</v>
      </c>
      <c r="G48" s="1102">
        <f>VLOOKUP(F12,Данные1!$A$195:$S$201,10,FALSE)</f>
        <v>0</v>
      </c>
      <c r="H48" s="1108">
        <f>VLOOKUP(H12,Данные1!$A$195:$S$201,11,FALSE)</f>
        <v>0</v>
      </c>
      <c r="I48" s="1103">
        <f>VLOOKUP(H12,Данные1!$A$195:$S$201,10,FALSE)</f>
        <v>0</v>
      </c>
      <c r="K48" s="1128"/>
    </row>
    <row r="49" spans="1:30" ht="16.5" customHeight="1" x14ac:dyDescent="0.2">
      <c r="A49" s="1100" t="s">
        <v>1081</v>
      </c>
      <c r="B49" s="1101">
        <f>VLOOKUP(B12,Данные1!$A$195:$S$201,13,FALSE)</f>
        <v>0</v>
      </c>
      <c r="C49" s="1102">
        <f>VLOOKUP(B12,Данные1!$A$195:$S$201,12,FALSE)</f>
        <v>0</v>
      </c>
      <c r="D49" s="1108">
        <f>VLOOKUP(D12,Данные1!$A$195:$S$201,13,FALSE)</f>
        <v>0</v>
      </c>
      <c r="E49" s="1102">
        <f>VLOOKUP(D12,Данные1!$A$195:$S$201,12,FALSE)</f>
        <v>0</v>
      </c>
      <c r="F49" s="1108">
        <f>VLOOKUP(F12,Данные1!$A$195:$S$201,13,FALSE)</f>
        <v>0</v>
      </c>
      <c r="G49" s="1102">
        <f>VLOOKUP(F12,Данные1!$A$195:$S$201,12,FALSE)</f>
        <v>0</v>
      </c>
      <c r="H49" s="1108">
        <f>VLOOKUP(H12,Данные1!$A$195:$S$201,13,FALSE)</f>
        <v>0</v>
      </c>
      <c r="I49" s="1103">
        <f>VLOOKUP(H12,Данные1!$A$195:$S$201,12,FALSE)</f>
        <v>0</v>
      </c>
      <c r="K49" s="1128"/>
    </row>
    <row r="50" spans="1:30" ht="16.5" customHeight="1" x14ac:dyDescent="0.2">
      <c r="A50" s="1100" t="s">
        <v>1082</v>
      </c>
      <c r="B50" s="1101">
        <f>VLOOKUP(B12,Данные1!$A$195:$S$201,15,FALSE)</f>
        <v>0</v>
      </c>
      <c r="C50" s="1102">
        <f>VLOOKUP(B12,Данные1!$A$195:$S$201,14,FALSE)</f>
        <v>0</v>
      </c>
      <c r="D50" s="1108">
        <f>VLOOKUP(D12,Данные1!$A$195:$S$201,15,FALSE)</f>
        <v>0</v>
      </c>
      <c r="E50" s="1102">
        <f>VLOOKUP(D12,Данные1!$A$195:$S$201,14,FALSE)</f>
        <v>0</v>
      </c>
      <c r="F50" s="1108">
        <f>VLOOKUP(F12,Данные1!$A$195:$S$201,15,FALSE)</f>
        <v>0</v>
      </c>
      <c r="G50" s="1102">
        <f>VLOOKUP(F12,Данные1!$A$195:$S$201,14,FALSE)</f>
        <v>0</v>
      </c>
      <c r="H50" s="1108">
        <f>VLOOKUP(H12,Данные1!$A$195:$S$201,15,FALSE)</f>
        <v>0</v>
      </c>
      <c r="I50" s="1103">
        <f>VLOOKUP(H12,Данные1!$A$195:$S$201,14,FALSE)</f>
        <v>0</v>
      </c>
      <c r="K50" s="1128"/>
    </row>
    <row r="51" spans="1:30" ht="16.5" customHeight="1" x14ac:dyDescent="0.2">
      <c r="A51" s="1100" t="s">
        <v>988</v>
      </c>
      <c r="B51" s="1101" t="s">
        <v>18</v>
      </c>
      <c r="C51" s="1102">
        <f>VLOOKUP(B12,Данные1!$A$195:$S$201,17,FALSE)</f>
        <v>0</v>
      </c>
      <c r="D51" s="1108" t="s">
        <v>18</v>
      </c>
      <c r="E51" s="1102">
        <f>VLOOKUP(D12,Данные1!$A$195:$S$201,17,FALSE)</f>
        <v>0</v>
      </c>
      <c r="F51" s="1108" t="s">
        <v>18</v>
      </c>
      <c r="G51" s="1102">
        <f>VLOOKUP(F12,Данные1!$A$195:$S$201,17,FALSE)</f>
        <v>0</v>
      </c>
      <c r="H51" s="1108" t="s">
        <v>18</v>
      </c>
      <c r="I51" s="1103">
        <f>VLOOKUP(H12,Данные1!$A$195:$S$201,17,FALSE)</f>
        <v>0</v>
      </c>
      <c r="K51" s="1128"/>
    </row>
    <row r="52" spans="1:30" ht="16.5" customHeight="1" x14ac:dyDescent="0.2">
      <c r="A52" s="1100" t="s">
        <v>989</v>
      </c>
      <c r="B52" s="1101" t="s">
        <v>18</v>
      </c>
      <c r="C52" s="1102">
        <f>VLOOKUP(B12,Данные1!$A$195:$S$201,18,FALSE)</f>
        <v>0</v>
      </c>
      <c r="D52" s="1108" t="s">
        <v>18</v>
      </c>
      <c r="E52" s="1102">
        <f>VLOOKUP(D12,Данные1!$A$195:$S$201,18,FALSE)</f>
        <v>0</v>
      </c>
      <c r="F52" s="1108" t="s">
        <v>18</v>
      </c>
      <c r="G52" s="1102">
        <f>VLOOKUP(F12,Данные1!$A$195:$S$201,18,FALSE)</f>
        <v>0</v>
      </c>
      <c r="H52" s="1108" t="s">
        <v>18</v>
      </c>
      <c r="I52" s="1103">
        <f>VLOOKUP(H12,Данные1!$A$195:$S$201,18,FALSE)</f>
        <v>0</v>
      </c>
      <c r="K52" s="1128"/>
    </row>
    <row r="53" spans="1:30" ht="16.5" customHeight="1" x14ac:dyDescent="0.2">
      <c r="A53" s="1100" t="s">
        <v>990</v>
      </c>
      <c r="B53" s="1101" t="s">
        <v>18</v>
      </c>
      <c r="C53" s="1102">
        <f>VLOOKUP(B12,Данные1!$A$195:$S$201,19,FALSE)</f>
        <v>0</v>
      </c>
      <c r="D53" s="1108" t="s">
        <v>18</v>
      </c>
      <c r="E53" s="1102">
        <f>VLOOKUP(D12,Данные1!$A$195:$S$201,19,FALSE)</f>
        <v>0</v>
      </c>
      <c r="F53" s="1108" t="s">
        <v>18</v>
      </c>
      <c r="G53" s="1102">
        <f>VLOOKUP(F12,Данные1!$A$195:$S$201,19,FALSE)</f>
        <v>0</v>
      </c>
      <c r="H53" s="1108" t="s">
        <v>18</v>
      </c>
      <c r="I53" s="1103">
        <f>VLOOKUP(H12,Данные1!$A$195:$S$201,19,FALSE)</f>
        <v>0</v>
      </c>
      <c r="K53" s="1128"/>
    </row>
    <row r="54" spans="1:30" ht="16.5" customHeight="1" x14ac:dyDescent="0.2">
      <c r="A54" s="1100" t="s">
        <v>981</v>
      </c>
      <c r="B54" s="1107" t="s">
        <v>994</v>
      </c>
      <c r="C54" s="1102">
        <f>VLOOKUP(B12,Данные1!$A$195:$S$201,16,FALSE)</f>
        <v>0</v>
      </c>
      <c r="D54" s="1107" t="s">
        <v>994</v>
      </c>
      <c r="E54" s="1102">
        <f>VLOOKUP(D12,Данные1!$A$195:$S$201,16,FALSE)</f>
        <v>0</v>
      </c>
      <c r="F54" s="1107" t="s">
        <v>994</v>
      </c>
      <c r="G54" s="1102">
        <f>VLOOKUP(F12,Данные1!$A$195:$S$201,16,FALSE)</f>
        <v>0</v>
      </c>
      <c r="H54" s="1107" t="s">
        <v>994</v>
      </c>
      <c r="I54" s="1103">
        <f>VLOOKUP(H12,Данные1!$A$195:$S$201,16,FALSE)</f>
        <v>0</v>
      </c>
      <c r="K54" s="1128"/>
    </row>
    <row r="55" spans="1:30" ht="18.75" customHeight="1" x14ac:dyDescent="0.2">
      <c r="A55" s="1095" t="s">
        <v>992</v>
      </c>
      <c r="B55" s="1095"/>
      <c r="C55" s="1096"/>
      <c r="D55" s="1097"/>
      <c r="E55" s="1098"/>
      <c r="F55" s="1097"/>
      <c r="G55" s="1098"/>
      <c r="H55" s="1097"/>
      <c r="I55" s="1099"/>
      <c r="K55" s="1128"/>
    </row>
    <row r="56" spans="1:30" ht="16.5" customHeight="1" x14ac:dyDescent="0.2">
      <c r="A56" s="1100" t="s">
        <v>1077</v>
      </c>
      <c r="B56" s="1101" t="str">
        <f>IF(C56=0,"-",VLOOKUP(B13,Данные1!$A$203:$S$218,3,FALSE))</f>
        <v>-</v>
      </c>
      <c r="C56" s="1102">
        <f>VLOOKUP(B13,Данные1!$A$203:$S$218,2,FALSE)</f>
        <v>0</v>
      </c>
      <c r="D56" s="1101" t="str">
        <f>IF(E56=0,"-",VLOOKUP(D13,Данные1!$A$203:$S$218,3,FALSE))</f>
        <v>-</v>
      </c>
      <c r="E56" s="1102">
        <f>VLOOKUP(D13,Данные1!$A$203:$S$218,2,FALSE)</f>
        <v>0</v>
      </c>
      <c r="F56" s="1101" t="str">
        <f>IF(G56=0,"-",VLOOKUP(F13,Данные1!$A$203:$S$218,3,FALSE))</f>
        <v>-</v>
      </c>
      <c r="G56" s="1102">
        <f>VLOOKUP(F13,Данные1!$A$203:$S$218,2,FALSE)</f>
        <v>0</v>
      </c>
      <c r="H56" s="1101" t="str">
        <f>IF(I56=0,"-",VLOOKUP(H13,Данные1!$A$203:$S$218,3,FALSE))</f>
        <v>-</v>
      </c>
      <c r="I56" s="1103">
        <f>VLOOKUP(H13,Данные1!$A$203:$S$218,2,FALSE)</f>
        <v>0</v>
      </c>
      <c r="K56" s="1128"/>
    </row>
    <row r="57" spans="1:30" ht="16.5" customHeight="1" x14ac:dyDescent="0.2">
      <c r="A57" s="1100" t="s">
        <v>1087</v>
      </c>
      <c r="B57" s="1101" t="str">
        <f>IF(C57=0,"-",VLOOKUP(B13,Данные1!$A$203:$AA$218,21,FALSE))</f>
        <v>-</v>
      </c>
      <c r="C57" s="1102">
        <f>VLOOKUP(B13,Данные1!$A$203:$AA$218,20,FALSE)</f>
        <v>0</v>
      </c>
      <c r="D57" s="1101" t="str">
        <f>IF(E57=0,"-",VLOOKUP(D13,Данные1!$A$203:$AA$218,21,FALSE))</f>
        <v>-</v>
      </c>
      <c r="E57" s="1102">
        <f>VLOOKUP(D13,Данные1!$A$203:$AA$218,20,FALSE)</f>
        <v>0</v>
      </c>
      <c r="F57" s="1101" t="str">
        <f>IF(G57=0,"-",VLOOKUP(F13,Данные1!$A$203:$AA$218,21,FALSE))</f>
        <v>-</v>
      </c>
      <c r="G57" s="1102">
        <f>VLOOKUP(F13,Данные1!$A$203:$AA$218,20,FALSE)</f>
        <v>0</v>
      </c>
      <c r="H57" s="1101" t="str">
        <f>IF(I57=0,"-",VLOOKUP(H13,Данные1!$A$203:$AA$218,21,FALSE))</f>
        <v>-</v>
      </c>
      <c r="I57" s="1103">
        <f>VLOOKUP(H13,Данные1!$A$203:$AA$218,20,FALSE)</f>
        <v>0</v>
      </c>
      <c r="K57" s="1128"/>
    </row>
    <row r="58" spans="1:30" ht="16.5" customHeight="1" x14ac:dyDescent="0.2">
      <c r="A58" s="1100" t="s">
        <v>1084</v>
      </c>
      <c r="B58" s="1101" t="str">
        <f>IF(C58=0,"-",VLOOKUP(B13,Данные1!$A$203:$S$218,5,FALSE))</f>
        <v>-</v>
      </c>
      <c r="C58" s="1102">
        <f>VLOOKUP(B13,Данные1!$A$203:$S$218,4,FALSE)</f>
        <v>0</v>
      </c>
      <c r="D58" s="1101" t="str">
        <f>IF(E58=0,"-",VLOOKUP(D13,Данные1!$A$203:$S$218,5,FALSE))</f>
        <v>-</v>
      </c>
      <c r="E58" s="1102">
        <f>VLOOKUP(D13,Данные1!$A$203:$S$218,4,FALSE)</f>
        <v>0</v>
      </c>
      <c r="F58" s="1101" t="str">
        <f>IF(G58=0,"-",VLOOKUP(F13,Данные1!$A$203:$S$218,5,FALSE))</f>
        <v>-</v>
      </c>
      <c r="G58" s="1102">
        <f>VLOOKUP(F13,Данные1!$A$203:$S$218,4,FALSE)</f>
        <v>0</v>
      </c>
      <c r="H58" s="1101" t="str">
        <f>IF(I58=0,"-",VLOOKUP(H13,Данные1!$A$203:$S$218,5,FALSE))</f>
        <v>-</v>
      </c>
      <c r="I58" s="1103">
        <f>VLOOKUP(H13,Данные1!$A$203:$S$218,4,FALSE)</f>
        <v>0</v>
      </c>
      <c r="K58" s="1128"/>
    </row>
    <row r="59" spans="1:30" ht="16.5" customHeight="1" x14ac:dyDescent="0.2">
      <c r="A59" s="1100" t="s">
        <v>1088</v>
      </c>
      <c r="B59" s="1101" t="str">
        <f>IF(C59=0,"-",VLOOKUP(B13,Данные1!$A$203:$AA$218,23,FALSE))</f>
        <v>-</v>
      </c>
      <c r="C59" s="1102">
        <f>VLOOKUP(B13,Данные1!$A$203:$AA$218,22,FALSE)</f>
        <v>0</v>
      </c>
      <c r="D59" s="1101" t="str">
        <f>IF(E59=0,"-",VLOOKUP(D13,Данные1!$A$203:$AA$218,23,FALSE))</f>
        <v>-</v>
      </c>
      <c r="E59" s="1102">
        <f>VLOOKUP(D13,Данные1!$A$203:$AA$218,22,FALSE)</f>
        <v>0</v>
      </c>
      <c r="F59" s="1101" t="str">
        <f>IF(G59=0,"-",VLOOKUP(F13,Данные1!$A$203:$AA$218,23,FALSE))</f>
        <v>-</v>
      </c>
      <c r="G59" s="1102">
        <f>VLOOKUP(F13,Данные1!$A$203:$AA$218,22,FALSE)</f>
        <v>0</v>
      </c>
      <c r="H59" s="1101" t="str">
        <f>IF(I59=0,"-",VLOOKUP(H13,Данные1!$A$203:$AA$218,23,FALSE))</f>
        <v>-</v>
      </c>
      <c r="I59" s="1103">
        <f>VLOOKUP(H13,Данные1!$A$203:$AA$218,22,FALSE)</f>
        <v>0</v>
      </c>
      <c r="K59" s="1128"/>
    </row>
    <row r="60" spans="1:30" ht="16.5" customHeight="1" x14ac:dyDescent="0.2">
      <c r="A60" s="1100" t="s">
        <v>1078</v>
      </c>
      <c r="B60" s="1101">
        <f>VLOOKUP(B13,Данные1!$A$203:$S$218,7,FALSE)</f>
        <v>0</v>
      </c>
      <c r="C60" s="1102">
        <f>VLOOKUP(B13,Данные1!$A$203:$S$218,6,FALSE)</f>
        <v>0</v>
      </c>
      <c r="D60" s="1101">
        <f>VLOOKUP(D13,Данные1!$A$203:$S$218,7,FALSE)</f>
        <v>0</v>
      </c>
      <c r="E60" s="1102">
        <f>VLOOKUP(D13,Данные1!$A$203:$S$218,6,FALSE)</f>
        <v>0</v>
      </c>
      <c r="F60" s="1101">
        <f>VLOOKUP(F13,Данные1!$A$203:$S$218,7,FALSE)</f>
        <v>0</v>
      </c>
      <c r="G60" s="1102">
        <f>VLOOKUP(F13,Данные1!$A$203:$S$218,6,FALSE)</f>
        <v>0</v>
      </c>
      <c r="H60" s="1101">
        <f>VLOOKUP(H13,Данные1!$A$203:$S$218,7,FALSE)</f>
        <v>0</v>
      </c>
      <c r="I60" s="1103">
        <f>VLOOKUP(H13,Данные1!$A$203:$S$218,6,FALSE)</f>
        <v>0</v>
      </c>
      <c r="K60" s="1128"/>
      <c r="R60" s="1126"/>
      <c r="S60" s="1085"/>
      <c r="T60" s="1085"/>
      <c r="U60" s="1085"/>
      <c r="V60" s="1085"/>
      <c r="W60" s="1085"/>
      <c r="X60" s="1085"/>
      <c r="Y60" s="1085"/>
      <c r="Z60" s="1135"/>
      <c r="AA60" s="1128"/>
      <c r="AB60" s="1112"/>
      <c r="AC60" s="1112"/>
      <c r="AD60" s="1112"/>
    </row>
    <row r="61" spans="1:30" ht="16.5" customHeight="1" x14ac:dyDescent="0.2">
      <c r="A61" s="1100" t="s">
        <v>1085</v>
      </c>
      <c r="B61" s="1101">
        <f>VLOOKUP(B13,Данные1!$A$203:$S$218,9,FALSE)</f>
        <v>0</v>
      </c>
      <c r="C61" s="1102">
        <f>VLOOKUP(B13,Данные1!$A$203:$S$218,8,FALSE)</f>
        <v>0</v>
      </c>
      <c r="D61" s="1101">
        <f>VLOOKUP(D13,Данные1!$A$203:$S$218,9,FALSE)</f>
        <v>0</v>
      </c>
      <c r="E61" s="1102">
        <f>VLOOKUP(D13,Данные1!$A$203:$S$218,8,FALSE)</f>
        <v>0</v>
      </c>
      <c r="F61" s="1101">
        <f>VLOOKUP(F13,Данные1!$A$203:$S$218,9,FALSE)</f>
        <v>0</v>
      </c>
      <c r="G61" s="1102">
        <f>VLOOKUP(F13,Данные1!$A$203:$S$218,8,FALSE)</f>
        <v>0</v>
      </c>
      <c r="H61" s="1101">
        <f>VLOOKUP(H13,Данные1!$A$203:$S$218,9,FALSE)</f>
        <v>0</v>
      </c>
      <c r="I61" s="1103">
        <f>VLOOKUP(H13,Данные1!$A$203:$S$218,8,FALSE)</f>
        <v>0</v>
      </c>
      <c r="K61" s="1128"/>
      <c r="R61" s="1126"/>
      <c r="S61" s="1085"/>
      <c r="T61" s="1085"/>
      <c r="U61" s="1085"/>
      <c r="V61" s="1085"/>
      <c r="W61" s="1085"/>
      <c r="X61" s="1085"/>
      <c r="Y61" s="1085"/>
      <c r="Z61" s="1135"/>
      <c r="AA61" s="1128"/>
      <c r="AB61" s="1112"/>
      <c r="AC61" s="1112"/>
      <c r="AD61" s="1112"/>
    </row>
    <row r="62" spans="1:30" ht="16.5" customHeight="1" x14ac:dyDescent="0.2">
      <c r="A62" s="1100" t="s">
        <v>1089</v>
      </c>
      <c r="B62" s="1101" t="str">
        <f>IF(C62=0,"-",VLOOKUP(B13,Данные1!$A$203:$AA$218,25,FALSE))</f>
        <v>-</v>
      </c>
      <c r="C62" s="1102">
        <f>VLOOKUP(B13,Данные1!$A$203:$AA$218,24,FALSE)</f>
        <v>0</v>
      </c>
      <c r="D62" s="1101" t="str">
        <f>IF(E62=0,"-",VLOOKUP(D13,Данные1!$A$203:$AA$218,25,FALSE))</f>
        <v>-</v>
      </c>
      <c r="E62" s="1102">
        <f>VLOOKUP(D13,Данные1!$A$203:$AA$218,24,FALSE)</f>
        <v>0</v>
      </c>
      <c r="F62" s="1101" t="str">
        <f>IF(G62=0,"-",VLOOKUP(F13,Данные1!$A$203:$AA$218,25,FALSE))</f>
        <v>-</v>
      </c>
      <c r="G62" s="1102">
        <f>VLOOKUP(F13,Данные1!$A$203:$AA$218,24,FALSE)</f>
        <v>0</v>
      </c>
      <c r="H62" s="1101" t="str">
        <f>IF(I62=0,"-",VLOOKUP(H13,Данные1!$A$203:$AA$218,25,FALSE))</f>
        <v>-</v>
      </c>
      <c r="I62" s="1103">
        <f>VLOOKUP(H13,Данные1!$A$203:$AA$218,24,FALSE)</f>
        <v>0</v>
      </c>
      <c r="K62" s="1128"/>
      <c r="R62" s="1126"/>
      <c r="S62" s="1085"/>
      <c r="T62" s="1085"/>
      <c r="U62" s="1085"/>
      <c r="V62" s="1085"/>
      <c r="W62" s="1085"/>
      <c r="X62" s="1085"/>
      <c r="Y62" s="1085"/>
      <c r="Z62" s="1135"/>
      <c r="AA62" s="1128"/>
      <c r="AB62" s="1112"/>
      <c r="AC62" s="1112"/>
      <c r="AD62" s="1112"/>
    </row>
    <row r="63" spans="1:30" ht="16.5" customHeight="1" x14ac:dyDescent="0.2">
      <c r="A63" s="1100" t="s">
        <v>1086</v>
      </c>
      <c r="B63" s="1101">
        <f>VLOOKUP(B13,Данные1!$A$203:$S$218,11,FALSE)</f>
        <v>0</v>
      </c>
      <c r="C63" s="1102">
        <f>VLOOKUP(B13,Данные1!$A$203:$S$218,10,FALSE)</f>
        <v>0</v>
      </c>
      <c r="D63" s="1101">
        <f>VLOOKUP(D13,Данные1!$A$203:$S$218,11,FALSE)</f>
        <v>0</v>
      </c>
      <c r="E63" s="1102">
        <f>VLOOKUP(D13,Данные1!$A$203:$S$218,10,FALSE)</f>
        <v>0</v>
      </c>
      <c r="F63" s="1101">
        <f>VLOOKUP(F13,Данные1!$A$203:$S$218,11,FALSE)</f>
        <v>0</v>
      </c>
      <c r="G63" s="1102">
        <f>VLOOKUP(F13,Данные1!$A$203:$S$218,10,FALSE)</f>
        <v>0</v>
      </c>
      <c r="H63" s="1101">
        <f>VLOOKUP(H13,Данные1!$A$203:$S$218,11,FALSE)</f>
        <v>0</v>
      </c>
      <c r="I63" s="1103">
        <f>VLOOKUP(H13,Данные1!$A$203:$S$218,10,FALSE)</f>
        <v>0</v>
      </c>
      <c r="K63" s="1128"/>
      <c r="R63" s="1126"/>
      <c r="S63" s="1085"/>
      <c r="T63" s="1085"/>
      <c r="U63" s="1085"/>
      <c r="V63" s="1085"/>
      <c r="W63" s="1085"/>
      <c r="X63" s="1085"/>
      <c r="Y63" s="1085"/>
      <c r="Z63" s="1135"/>
      <c r="AA63" s="1128"/>
      <c r="AB63" s="1112"/>
      <c r="AC63" s="1112"/>
      <c r="AD63" s="1112"/>
    </row>
    <row r="64" spans="1:30" ht="16.5" customHeight="1" x14ac:dyDescent="0.2">
      <c r="A64" s="1100" t="s">
        <v>1086</v>
      </c>
      <c r="B64" s="1101" t="str">
        <f>IF(C64=0,"-",VLOOKUP(B13,Данные1!$A$203:$AA$218,27,FALSE))</f>
        <v>-</v>
      </c>
      <c r="C64" s="1102">
        <f>VLOOKUP(B13,Данные1!$A$203:$AA$218,26,FALSE)</f>
        <v>0</v>
      </c>
      <c r="D64" s="1101" t="str">
        <f>IF(E64=0,"-",VLOOKUP(D13,Данные1!$A$203:$AA$218,27,FALSE))</f>
        <v>-</v>
      </c>
      <c r="E64" s="1102">
        <f>VLOOKUP(D13,Данные1!$A$203:$AA$218,26,FALSE)</f>
        <v>0</v>
      </c>
      <c r="F64" s="1101" t="str">
        <f>IF(G64=0,"-",VLOOKUP(F13,Данные1!$A$203:$AA$218,27,FALSE))</f>
        <v>-</v>
      </c>
      <c r="G64" s="1102">
        <f>VLOOKUP(F13,Данные1!$A$203:$AA$218,26,FALSE)</f>
        <v>0</v>
      </c>
      <c r="H64" s="1101" t="str">
        <f>IF(I64=0,"-",VLOOKUP(H13,Данные1!$A$203:$AA$218,27,FALSE))</f>
        <v>-</v>
      </c>
      <c r="I64" s="1103">
        <f>VLOOKUP(H13,Данные1!$A$203:$AA$218,26,FALSE)</f>
        <v>0</v>
      </c>
      <c r="K64" s="1128"/>
      <c r="R64" s="1126"/>
      <c r="S64" s="1085"/>
      <c r="T64" s="1085"/>
      <c r="U64" s="1085"/>
      <c r="V64" s="1085"/>
      <c r="W64" s="1085"/>
      <c r="X64" s="1085"/>
      <c r="Y64" s="1085"/>
      <c r="Z64" s="1135"/>
      <c r="AA64" s="1128"/>
      <c r="AB64" s="1112"/>
      <c r="AC64" s="1112"/>
      <c r="AD64" s="1112"/>
    </row>
    <row r="65" spans="1:33" ht="16.5" customHeight="1" x14ac:dyDescent="0.2">
      <c r="A65" s="1100" t="s">
        <v>1081</v>
      </c>
      <c r="B65" s="1101">
        <f>VLOOKUP(B13,Данные1!$A$203:$S$218,13,FALSE)</f>
        <v>0</v>
      </c>
      <c r="C65" s="1102">
        <f>VLOOKUP(B13,Данные1!$A$203:$S$218,12,FALSE)</f>
        <v>0</v>
      </c>
      <c r="D65" s="1101">
        <f>VLOOKUP(D13,Данные1!$A$203:$S$218,13,FALSE)</f>
        <v>0</v>
      </c>
      <c r="E65" s="1102">
        <f>VLOOKUP(D13,Данные1!$A$203:$S$218,12,FALSE)</f>
        <v>0</v>
      </c>
      <c r="F65" s="1101">
        <f>VLOOKUP(F13,Данные1!$A$203:$S$218,13,FALSE)</f>
        <v>0</v>
      </c>
      <c r="G65" s="1102">
        <f>VLOOKUP(F13,Данные1!$A$203:$S$218,12,FALSE)</f>
        <v>0</v>
      </c>
      <c r="H65" s="1101">
        <f>VLOOKUP(H13,Данные1!$A$203:$S$218,13,FALSE)</f>
        <v>0</v>
      </c>
      <c r="I65" s="1103">
        <f>VLOOKUP(H13,Данные1!$A$203:$S$218,12,FALSE)</f>
        <v>0</v>
      </c>
      <c r="K65" s="1128"/>
      <c r="R65" s="1126"/>
      <c r="S65" s="1085"/>
      <c r="T65" s="1085"/>
      <c r="U65" s="1085"/>
      <c r="V65" s="1085"/>
      <c r="W65" s="1085"/>
      <c r="X65" s="1085"/>
      <c r="Y65" s="1085"/>
      <c r="Z65" s="1112"/>
      <c r="AA65" s="1112"/>
      <c r="AB65" s="1136"/>
      <c r="AC65" s="1112"/>
      <c r="AD65" s="1128"/>
      <c r="AE65" s="1112"/>
      <c r="AF65" s="1112"/>
      <c r="AG65" s="1112"/>
    </row>
    <row r="66" spans="1:33" ht="16.5" customHeight="1" x14ac:dyDescent="0.2">
      <c r="A66" s="1085" t="s">
        <v>1082</v>
      </c>
      <c r="B66" s="1101">
        <f>VLOOKUP(B13,Данные1!$A$203:$S$218,15,FALSE)</f>
        <v>0</v>
      </c>
      <c r="C66" s="1102">
        <f>VLOOKUP(B13,Данные1!$A$203:$S$218,14,FALSE)</f>
        <v>0</v>
      </c>
      <c r="D66" s="1101">
        <f>VLOOKUP(D13,Данные1!$A$203:$S$218,15,FALSE)</f>
        <v>0</v>
      </c>
      <c r="E66" s="1102">
        <f>VLOOKUP(D13,Данные1!$A$203:$S$218,14,FALSE)</f>
        <v>0</v>
      </c>
      <c r="F66" s="1101">
        <f>VLOOKUP(F13,Данные1!$A$203:$S$218,15,FALSE)</f>
        <v>0</v>
      </c>
      <c r="G66" s="1102">
        <f>VLOOKUP(F13,Данные1!$A$203:$S$218,14,FALSE)</f>
        <v>0</v>
      </c>
      <c r="H66" s="1101">
        <f>VLOOKUP(H13,Данные1!$A$203:$S$218,15,FALSE)</f>
        <v>0</v>
      </c>
      <c r="I66" s="1103">
        <f>VLOOKUP(H13,Данные1!$A$203:$S$218,14,FALSE)</f>
        <v>0</v>
      </c>
      <c r="K66" s="1128"/>
      <c r="R66" s="1126"/>
      <c r="S66" s="1085"/>
      <c r="T66" s="1085"/>
      <c r="U66" s="1085"/>
      <c r="V66" s="1085"/>
      <c r="W66" s="1085"/>
      <c r="X66" s="1085"/>
      <c r="Y66" s="1085"/>
      <c r="Z66" s="1137"/>
      <c r="AA66" s="1112"/>
      <c r="AB66" s="1136"/>
      <c r="AC66" s="1112"/>
      <c r="AD66" s="1128"/>
      <c r="AE66" s="1112"/>
      <c r="AF66" s="1112"/>
      <c r="AG66" s="1112"/>
    </row>
    <row r="67" spans="1:33" ht="16.5" customHeight="1" x14ac:dyDescent="0.2">
      <c r="A67" s="1109" t="s">
        <v>988</v>
      </c>
      <c r="B67" s="1101" t="s">
        <v>18</v>
      </c>
      <c r="C67" s="1102">
        <f>VLOOKUP(B13,Данные1!$A$203:$S$218,17,FALSE)</f>
        <v>0</v>
      </c>
      <c r="D67" s="1101" t="s">
        <v>18</v>
      </c>
      <c r="E67" s="1102">
        <f>VLOOKUP(D13,Данные1!$A$203:$S$218,17,FALSE)</f>
        <v>0</v>
      </c>
      <c r="F67" s="1101" t="s">
        <v>18</v>
      </c>
      <c r="G67" s="1102">
        <f>VLOOKUP(F13,Данные1!$A$203:$S$218,17,FALSE)</f>
        <v>0</v>
      </c>
      <c r="H67" s="1101" t="s">
        <v>18</v>
      </c>
      <c r="I67" s="1103">
        <f>VLOOKUP(H13,Данные1!$A$203:$S$218,17,FALSE)</f>
        <v>0</v>
      </c>
      <c r="J67" s="1125"/>
      <c r="K67" s="1128"/>
      <c r="R67" s="1126"/>
      <c r="S67" s="1085"/>
      <c r="T67" s="1085"/>
      <c r="U67" s="1085"/>
      <c r="V67" s="1085"/>
      <c r="W67" s="1085"/>
      <c r="X67" s="1085"/>
      <c r="Y67" s="1085"/>
      <c r="Z67" s="1137"/>
      <c r="AA67" s="1112"/>
      <c r="AB67" s="1136"/>
      <c r="AC67" s="1112"/>
      <c r="AD67" s="1128"/>
      <c r="AE67" s="1112"/>
      <c r="AF67" s="1112"/>
      <c r="AG67" s="1112"/>
    </row>
    <row r="68" spans="1:33" ht="16.5" customHeight="1" x14ac:dyDescent="0.2">
      <c r="A68" s="1109" t="s">
        <v>989</v>
      </c>
      <c r="B68" s="1101" t="s">
        <v>18</v>
      </c>
      <c r="C68" s="1102">
        <f>VLOOKUP(B13,Данные1!$A$203:$S$218,18,FALSE)</f>
        <v>0</v>
      </c>
      <c r="D68" s="1101" t="s">
        <v>18</v>
      </c>
      <c r="E68" s="1102">
        <f>VLOOKUP(D13,Данные1!$A$203:$S$218,18,FALSE)</f>
        <v>0</v>
      </c>
      <c r="F68" s="1101" t="s">
        <v>18</v>
      </c>
      <c r="G68" s="1102">
        <f>VLOOKUP(F13,Данные1!$A$203:$S$218,18,FALSE)</f>
        <v>0</v>
      </c>
      <c r="H68" s="1101" t="s">
        <v>18</v>
      </c>
      <c r="I68" s="1103">
        <f>VLOOKUP(H13,Данные1!$A$203:$S$218,18,FALSE)</f>
        <v>0</v>
      </c>
      <c r="K68" s="1128"/>
      <c r="R68" s="1126"/>
      <c r="S68" s="1085"/>
      <c r="T68" s="1085"/>
      <c r="U68" s="1085"/>
      <c r="V68" s="1085"/>
      <c r="W68" s="1085"/>
      <c r="X68" s="1085"/>
      <c r="Y68" s="1085"/>
      <c r="Z68" s="1137"/>
      <c r="AA68" s="1112"/>
      <c r="AB68" s="1136"/>
      <c r="AC68" s="1112"/>
      <c r="AD68" s="1128"/>
      <c r="AE68" s="1112"/>
      <c r="AF68" s="1112"/>
      <c r="AG68" s="1112"/>
    </row>
    <row r="69" spans="1:33" ht="16.5" customHeight="1" x14ac:dyDescent="0.2">
      <c r="A69" s="1109" t="s">
        <v>990</v>
      </c>
      <c r="B69" s="1101" t="s">
        <v>18</v>
      </c>
      <c r="C69" s="1102">
        <f>VLOOKUP(B13,Данные1!$A$203:$S$218,19,FALSE)</f>
        <v>0</v>
      </c>
      <c r="D69" s="1101" t="s">
        <v>18</v>
      </c>
      <c r="E69" s="1102">
        <f>VLOOKUP(D13,Данные1!$A$203:$S$218,19,FALSE)</f>
        <v>0</v>
      </c>
      <c r="F69" s="1101" t="s">
        <v>18</v>
      </c>
      <c r="G69" s="1102">
        <f>VLOOKUP(F13,Данные1!$A$203:$S$218,19,FALSE)</f>
        <v>0</v>
      </c>
      <c r="H69" s="1101" t="s">
        <v>18</v>
      </c>
      <c r="I69" s="1103">
        <f>VLOOKUP(H13,Данные1!$A$203:$S$218,19,FALSE)</f>
        <v>0</v>
      </c>
      <c r="K69" s="1128"/>
      <c r="R69" s="1126"/>
      <c r="S69" s="1085"/>
      <c r="T69" s="1085"/>
      <c r="U69" s="1085"/>
      <c r="V69" s="1085"/>
      <c r="W69" s="1085"/>
      <c r="X69" s="1085"/>
      <c r="Y69" s="1085"/>
      <c r="Z69" s="1137"/>
      <c r="AA69" s="1112"/>
      <c r="AB69" s="1136"/>
      <c r="AC69" s="1112"/>
      <c r="AD69" s="1128"/>
      <c r="AE69" s="1112"/>
      <c r="AF69" s="1112"/>
      <c r="AG69" s="1112"/>
    </row>
    <row r="70" spans="1:33" ht="16.5" customHeight="1" x14ac:dyDescent="0.2">
      <c r="A70" s="1100" t="s">
        <v>981</v>
      </c>
      <c r="B70" s="1107" t="s">
        <v>994</v>
      </c>
      <c r="C70" s="1102">
        <f>VLOOKUP(B13,Данные1!$A$203:$S$218,16,FALSE)</f>
        <v>0</v>
      </c>
      <c r="D70" s="1107" t="s">
        <v>994</v>
      </c>
      <c r="E70" s="1102">
        <f>VLOOKUP(D13,Данные1!$A$203:$S$218,16,FALSE)</f>
        <v>0</v>
      </c>
      <c r="F70" s="1107" t="s">
        <v>994</v>
      </c>
      <c r="G70" s="1102">
        <f>VLOOKUP(F13,Данные1!$A$203:$S$218,16,FALSE)</f>
        <v>0</v>
      </c>
      <c r="H70" s="1107" t="s">
        <v>994</v>
      </c>
      <c r="I70" s="1103">
        <f>VLOOKUP(H13,Данные1!$A$203:$S$218,16,FALSE)</f>
        <v>0</v>
      </c>
      <c r="K70" s="1128"/>
      <c r="R70" s="1126"/>
      <c r="S70" s="1085"/>
      <c r="T70" s="1085"/>
      <c r="U70" s="1085"/>
      <c r="V70" s="1085"/>
      <c r="W70" s="1085"/>
      <c r="X70" s="1085"/>
      <c r="Y70" s="1085"/>
      <c r="Z70" s="1137"/>
      <c r="AA70" s="1112"/>
      <c r="AB70" s="1136"/>
      <c r="AC70" s="1112"/>
      <c r="AD70" s="1128"/>
      <c r="AE70" s="1112"/>
      <c r="AF70" s="1112"/>
      <c r="AG70" s="1112"/>
    </row>
    <row r="71" spans="1:33" ht="16.5" customHeight="1" x14ac:dyDescent="0.2">
      <c r="A71" s="1095" t="s">
        <v>993</v>
      </c>
      <c r="B71" s="1114"/>
      <c r="C71" s="1115"/>
      <c r="D71" s="1118"/>
      <c r="E71" s="1115"/>
      <c r="F71" s="1118"/>
      <c r="G71" s="1115"/>
      <c r="H71" s="1118"/>
      <c r="I71" s="1114"/>
      <c r="K71" s="1128"/>
      <c r="R71" s="1126"/>
      <c r="S71" s="1085"/>
      <c r="T71" s="1085"/>
      <c r="U71" s="1085"/>
      <c r="V71" s="1085"/>
      <c r="W71" s="1085"/>
      <c r="X71" s="1085"/>
      <c r="Y71" s="1085"/>
      <c r="Z71" s="1137"/>
      <c r="AA71" s="1112"/>
      <c r="AB71" s="1136"/>
      <c r="AC71" s="1112"/>
      <c r="AD71" s="1128"/>
      <c r="AE71" s="1112"/>
      <c r="AF71" s="1112"/>
      <c r="AG71" s="1112"/>
    </row>
    <row r="72" spans="1:33" s="1125" customFormat="1" ht="16.5" customHeight="1" x14ac:dyDescent="0.2">
      <c r="A72" s="1109" t="s">
        <v>1048</v>
      </c>
      <c r="B72" s="1107" t="s">
        <v>1090</v>
      </c>
      <c r="C72" s="1102">
        <f>C29</f>
        <v>0</v>
      </c>
      <c r="D72" s="1107" t="s">
        <v>1090</v>
      </c>
      <c r="E72" s="1102">
        <f>E29</f>
        <v>0</v>
      </c>
      <c r="F72" s="1107" t="s">
        <v>1090</v>
      </c>
      <c r="G72" s="1102">
        <f>G29</f>
        <v>0</v>
      </c>
      <c r="H72" s="1107" t="s">
        <v>1090</v>
      </c>
      <c r="I72" s="1103">
        <f>I29</f>
        <v>0</v>
      </c>
      <c r="K72" s="1139"/>
      <c r="R72" s="1140"/>
      <c r="S72" s="1141"/>
      <c r="T72" s="1141"/>
      <c r="U72" s="1141"/>
      <c r="V72" s="1141"/>
      <c r="W72" s="1141"/>
      <c r="X72" s="1141"/>
      <c r="Y72" s="1141"/>
      <c r="Z72" s="1142"/>
      <c r="AA72" s="1143"/>
      <c r="AB72" s="1144"/>
      <c r="AC72" s="1143"/>
      <c r="AD72" s="1139"/>
      <c r="AE72" s="1143"/>
      <c r="AF72" s="1143"/>
      <c r="AG72" s="1143"/>
    </row>
    <row r="73" spans="1:33" s="1125" customFormat="1" ht="16.5" customHeight="1" x14ac:dyDescent="0.2">
      <c r="A73" s="1100" t="s">
        <v>982</v>
      </c>
      <c r="B73" s="1107" t="s">
        <v>995</v>
      </c>
      <c r="C73" s="1102">
        <f>C30</f>
        <v>0</v>
      </c>
      <c r="D73" s="1107" t="s">
        <v>995</v>
      </c>
      <c r="E73" s="1102">
        <f>E30</f>
        <v>0</v>
      </c>
      <c r="F73" s="1107" t="s">
        <v>995</v>
      </c>
      <c r="G73" s="1102">
        <f>G30</f>
        <v>0</v>
      </c>
      <c r="H73" s="1107" t="s">
        <v>995</v>
      </c>
      <c r="I73" s="1103">
        <f>I30</f>
        <v>0</v>
      </c>
      <c r="K73" s="1139"/>
      <c r="R73" s="1140"/>
      <c r="S73" s="1141"/>
      <c r="T73" s="1141"/>
      <c r="U73" s="1141"/>
      <c r="V73" s="1141"/>
      <c r="W73" s="1141"/>
      <c r="X73" s="1141"/>
      <c r="Y73" s="1141"/>
      <c r="Z73" s="1142"/>
      <c r="AA73" s="1143"/>
      <c r="AB73" s="1144"/>
      <c r="AC73" s="1143"/>
      <c r="AD73" s="1139"/>
      <c r="AE73" s="1143"/>
      <c r="AF73" s="1143"/>
      <c r="AG73" s="1143"/>
    </row>
    <row r="74" spans="1:33" s="1125" customFormat="1" ht="16.5" customHeight="1" x14ac:dyDescent="0.2">
      <c r="A74" s="1100" t="s">
        <v>981</v>
      </c>
      <c r="B74" s="1107" t="s">
        <v>994</v>
      </c>
      <c r="C74" s="1102">
        <f>C70</f>
        <v>0</v>
      </c>
      <c r="D74" s="1107" t="s">
        <v>994</v>
      </c>
      <c r="E74" s="1102">
        <f>E70</f>
        <v>0</v>
      </c>
      <c r="F74" s="1107" t="s">
        <v>994</v>
      </c>
      <c r="G74" s="1102">
        <f>G70</f>
        <v>0</v>
      </c>
      <c r="H74" s="1107" t="s">
        <v>994</v>
      </c>
      <c r="I74" s="1103">
        <f>I70</f>
        <v>0</v>
      </c>
      <c r="K74" s="1139"/>
      <c r="R74" s="1140"/>
      <c r="S74" s="1141"/>
      <c r="T74" s="1141"/>
      <c r="U74" s="1141"/>
      <c r="V74" s="1141"/>
      <c r="W74" s="1141"/>
      <c r="X74" s="1141"/>
      <c r="Y74" s="1141"/>
      <c r="Z74" s="1142"/>
      <c r="AA74" s="1143"/>
      <c r="AB74" s="1144"/>
      <c r="AC74" s="1143"/>
      <c r="AD74" s="1139"/>
      <c r="AE74" s="1143"/>
      <c r="AF74" s="1143"/>
      <c r="AG74" s="1143"/>
    </row>
    <row r="75" spans="1:33" s="1125" customFormat="1" ht="16.5" customHeight="1" x14ac:dyDescent="0.2">
      <c r="A75" s="1100" t="s">
        <v>996</v>
      </c>
      <c r="B75" s="1107" t="s">
        <v>997</v>
      </c>
      <c r="C75" s="1102">
        <f>C31</f>
        <v>0</v>
      </c>
      <c r="D75" s="1107" t="s">
        <v>997</v>
      </c>
      <c r="E75" s="1102">
        <f>E31</f>
        <v>0</v>
      </c>
      <c r="F75" s="1107" t="s">
        <v>997</v>
      </c>
      <c r="G75" s="1102">
        <f>G31</f>
        <v>0</v>
      </c>
      <c r="H75" s="1107" t="s">
        <v>997</v>
      </c>
      <c r="I75" s="1103">
        <f>I31</f>
        <v>0</v>
      </c>
      <c r="K75" s="1139"/>
      <c r="R75" s="1140"/>
      <c r="S75" s="1141"/>
      <c r="T75" s="1141"/>
      <c r="U75" s="1141"/>
      <c r="V75" s="1141"/>
      <c r="W75" s="1141"/>
      <c r="X75" s="1141"/>
      <c r="Y75" s="1141"/>
      <c r="Z75" s="1142"/>
      <c r="AA75" s="1143"/>
      <c r="AB75" s="1144"/>
      <c r="AC75" s="1143"/>
      <c r="AD75" s="1139"/>
      <c r="AE75" s="1143"/>
      <c r="AF75" s="1143"/>
      <c r="AG75" s="1143"/>
    </row>
    <row r="76" spans="1:33" s="1125" customFormat="1" ht="16.5" customHeight="1" x14ac:dyDescent="0.2">
      <c r="A76" s="1100" t="s">
        <v>998</v>
      </c>
      <c r="B76" s="1107"/>
      <c r="C76" s="1102">
        <f>C32</f>
        <v>0</v>
      </c>
      <c r="D76" s="1107"/>
      <c r="E76" s="1102">
        <f>E32</f>
        <v>0</v>
      </c>
      <c r="F76" s="1107"/>
      <c r="G76" s="1102">
        <f>G32</f>
        <v>0</v>
      </c>
      <c r="H76" s="1107"/>
      <c r="I76" s="1103">
        <f>I32</f>
        <v>0</v>
      </c>
      <c r="K76" s="1139"/>
      <c r="R76" s="1140"/>
      <c r="S76" s="1141"/>
      <c r="T76" s="1141"/>
      <c r="U76" s="1141"/>
      <c r="V76" s="1141"/>
      <c r="W76" s="1141"/>
      <c r="X76" s="1141"/>
      <c r="Y76" s="1141"/>
      <c r="Z76" s="1142"/>
      <c r="AA76" s="1143"/>
      <c r="AB76" s="1144"/>
      <c r="AC76" s="1143"/>
      <c r="AD76" s="1139"/>
      <c r="AE76" s="1143"/>
      <c r="AF76" s="1143"/>
      <c r="AG76" s="1143"/>
    </row>
    <row r="77" spans="1:33" ht="12.75" customHeight="1" x14ac:dyDescent="0.2">
      <c r="A77" s="1126"/>
      <c r="B77" s="1127"/>
      <c r="C77" s="1128"/>
      <c r="D77" s="1128"/>
      <c r="E77" s="1128"/>
      <c r="F77" s="1128"/>
      <c r="G77" s="1128"/>
      <c r="H77" s="1128"/>
      <c r="I77" s="1128"/>
      <c r="J77" s="1129"/>
      <c r="K77" s="1128"/>
    </row>
    <row r="78" spans="1:33" ht="12.75" customHeight="1" x14ac:dyDescent="0.2">
      <c r="A78" s="1129"/>
      <c r="B78" s="1127"/>
      <c r="C78" s="1128"/>
      <c r="D78" s="1128"/>
      <c r="E78" s="1128"/>
      <c r="F78" s="1128"/>
      <c r="G78" s="1128"/>
      <c r="H78" s="1128"/>
      <c r="I78" s="1128"/>
      <c r="J78" s="1129"/>
      <c r="K78" s="1128"/>
    </row>
    <row r="79" spans="1:33" ht="19.5" customHeight="1" x14ac:dyDescent="0.2">
      <c r="A79" s="2504" t="s">
        <v>999</v>
      </c>
      <c r="B79" s="2504"/>
      <c r="C79" s="2504"/>
      <c r="D79" s="2504"/>
      <c r="E79" s="2504"/>
      <c r="F79" s="2504"/>
      <c r="G79" s="2504"/>
      <c r="H79" s="2504"/>
      <c r="I79" s="2504"/>
      <c r="J79" s="1129"/>
      <c r="K79" s="1128"/>
    </row>
    <row r="80" spans="1:33" ht="28.5" customHeight="1" x14ac:dyDescent="0.2">
      <c r="A80" s="2488" t="s">
        <v>1091</v>
      </c>
      <c r="B80" s="2489"/>
      <c r="C80" s="2489"/>
      <c r="D80" s="2489"/>
      <c r="E80" s="2489"/>
      <c r="F80" s="2489"/>
      <c r="G80" s="2489"/>
      <c r="H80" s="2489"/>
      <c r="I80" s="2490"/>
      <c r="J80" s="1126"/>
    </row>
    <row r="81" spans="1:13" ht="28.5" customHeight="1" x14ac:dyDescent="0.2">
      <c r="A81" s="2488" t="s">
        <v>1001</v>
      </c>
      <c r="B81" s="2489"/>
      <c r="C81" s="2489"/>
      <c r="D81" s="2489"/>
      <c r="E81" s="2489"/>
      <c r="F81" s="2489"/>
      <c r="G81" s="2489"/>
      <c r="H81" s="2489"/>
      <c r="I81" s="2490"/>
      <c r="J81" s="1126"/>
    </row>
    <row r="82" spans="1:13" ht="28.5" customHeight="1" x14ac:dyDescent="0.2">
      <c r="A82" s="2491" t="s">
        <v>1002</v>
      </c>
      <c r="B82" s="2492"/>
      <c r="C82" s="2492"/>
      <c r="D82" s="2492"/>
      <c r="E82" s="2492"/>
      <c r="F82" s="2492"/>
      <c r="G82" s="2492"/>
      <c r="H82" s="2492"/>
      <c r="I82" s="2493"/>
      <c r="J82" s="1130"/>
      <c r="K82" s="1130"/>
    </row>
    <row r="83" spans="1:13" ht="28.5" customHeight="1" x14ac:dyDescent="0.2">
      <c r="A83" s="2491" t="s">
        <v>1003</v>
      </c>
      <c r="B83" s="2492"/>
      <c r="C83" s="2492"/>
      <c r="D83" s="2492"/>
      <c r="E83" s="2492"/>
      <c r="F83" s="2492"/>
      <c r="G83" s="2492"/>
      <c r="H83" s="2492"/>
      <c r="I83" s="2493"/>
      <c r="J83" s="1131"/>
      <c r="K83" s="1149"/>
      <c r="L83" s="1150"/>
      <c r="M83" s="1150"/>
    </row>
    <row r="84" spans="1:13" ht="12.75" customHeight="1" x14ac:dyDescent="0.2">
      <c r="K84" s="1158"/>
    </row>
    <row r="85" spans="1:13" ht="12.75" customHeight="1" x14ac:dyDescent="0.2">
      <c r="A85" s="1151"/>
      <c r="B85" s="1151"/>
      <c r="C85" s="1151"/>
      <c r="D85" s="1151"/>
      <c r="E85" s="1151"/>
      <c r="F85" s="1151"/>
      <c r="G85" s="1151"/>
      <c r="H85" s="1151"/>
    </row>
    <row r="86" spans="1:13" x14ac:dyDescent="0.2">
      <c r="A86" s="1151"/>
      <c r="B86" s="1151"/>
      <c r="C86" s="1151"/>
      <c r="D86" s="1151"/>
      <c r="E86" s="1151"/>
      <c r="F86" s="1151"/>
      <c r="G86" s="1151"/>
      <c r="H86" s="1151"/>
    </row>
    <row r="87" spans="1:13" x14ac:dyDescent="0.2">
      <c r="A87" s="1151"/>
      <c r="B87" s="1151"/>
      <c r="C87" s="1151"/>
      <c r="D87" s="1151"/>
      <c r="E87" s="1151"/>
      <c r="F87" s="1151"/>
      <c r="G87" s="1151"/>
      <c r="H87" s="1151"/>
    </row>
    <row r="88" spans="1:13" x14ac:dyDescent="0.2">
      <c r="A88" s="1151"/>
      <c r="B88" s="1151"/>
      <c r="C88" s="1151"/>
      <c r="D88" s="1151"/>
      <c r="E88" s="1151"/>
      <c r="F88" s="1151"/>
      <c r="G88" s="1151"/>
      <c r="H88" s="1151"/>
    </row>
    <row r="89" spans="1:13" ht="12.75" customHeight="1" x14ac:dyDescent="0.2">
      <c r="A89" s="1151"/>
      <c r="B89" s="1151"/>
      <c r="C89" s="1151"/>
      <c r="D89" s="1151"/>
      <c r="E89" s="1151"/>
      <c r="F89" s="1151"/>
      <c r="G89" s="1151"/>
      <c r="H89" s="1151"/>
    </row>
    <row r="90" spans="1:13" ht="12.75" customHeight="1" x14ac:dyDescent="0.2">
      <c r="A90" s="1151"/>
      <c r="B90" s="1151"/>
      <c r="C90" s="1151"/>
      <c r="D90" s="1151"/>
      <c r="E90" s="1151"/>
      <c r="F90" s="1151"/>
      <c r="G90" s="1151"/>
      <c r="H90" s="1151"/>
    </row>
    <row r="91" spans="1:13" ht="12.75" customHeight="1" x14ac:dyDescent="0.2">
      <c r="A91" s="1151"/>
      <c r="B91" s="1151"/>
      <c r="C91" s="1151"/>
      <c r="D91" s="1151"/>
      <c r="E91" s="1151"/>
      <c r="F91" s="1151"/>
      <c r="G91" s="1151"/>
      <c r="H91" s="1151"/>
    </row>
    <row r="92" spans="1:13" ht="12.75" customHeight="1" x14ac:dyDescent="0.2">
      <c r="A92" s="1151"/>
      <c r="B92" s="1151"/>
      <c r="C92" s="1151"/>
      <c r="D92" s="1151"/>
      <c r="E92" s="1151"/>
      <c r="F92" s="1151"/>
      <c r="G92" s="1151"/>
      <c r="H92" s="1151"/>
    </row>
    <row r="93" spans="1:13" ht="12.75" customHeight="1" x14ac:dyDescent="0.2">
      <c r="A93" s="1151"/>
      <c r="B93" s="1151"/>
      <c r="C93" s="1151"/>
      <c r="D93" s="1151"/>
      <c r="E93" s="1151"/>
      <c r="F93" s="1151"/>
      <c r="G93" s="1151"/>
      <c r="H93" s="1151"/>
    </row>
    <row r="94" spans="1:13" ht="12.75" customHeight="1" x14ac:dyDescent="0.2">
      <c r="A94" s="1145"/>
      <c r="B94" s="1145"/>
      <c r="C94" s="1145"/>
      <c r="D94" s="1145"/>
      <c r="E94" s="1145"/>
      <c r="F94" s="1145"/>
      <c r="G94" s="1145"/>
      <c r="H94" s="1145"/>
    </row>
    <row r="95" spans="1:13" ht="12.75" customHeight="1" x14ac:dyDescent="0.2">
      <c r="A95" s="1145"/>
      <c r="B95" s="1145"/>
      <c r="C95" s="1145"/>
      <c r="D95" s="1145"/>
      <c r="E95" s="1145"/>
      <c r="F95" s="1145"/>
      <c r="G95" s="1145"/>
      <c r="H95" s="1145"/>
    </row>
    <row r="96" spans="1:13" ht="12.75" customHeight="1" x14ac:dyDescent="0.2">
      <c r="A96" s="1145"/>
      <c r="B96" s="1145"/>
      <c r="C96" s="1145"/>
      <c r="D96" s="1145"/>
      <c r="E96" s="1145"/>
      <c r="F96" s="1145"/>
      <c r="G96" s="1145"/>
      <c r="H96" s="1145"/>
    </row>
    <row r="97" spans="1:8" ht="12.75" customHeight="1" x14ac:dyDescent="0.2">
      <c r="A97" s="1145"/>
      <c r="B97" s="1145"/>
      <c r="C97" s="1145"/>
      <c r="D97" s="1145"/>
      <c r="E97" s="1145"/>
      <c r="F97" s="1145"/>
      <c r="G97" s="1145"/>
      <c r="H97" s="1145"/>
    </row>
    <row r="98" spans="1:8" ht="12.75" customHeight="1" x14ac:dyDescent="0.2">
      <c r="H98" s="1126"/>
    </row>
    <row r="99" spans="1:8" ht="12.75" customHeight="1" x14ac:dyDescent="0.2">
      <c r="H99" s="1126"/>
    </row>
    <row r="100" spans="1:8" x14ac:dyDescent="0.2">
      <c r="H100" s="1126"/>
    </row>
    <row r="101" spans="1:8" x14ac:dyDescent="0.2">
      <c r="A101" s="1084"/>
      <c r="B101" s="1084"/>
      <c r="H101" s="1126"/>
    </row>
    <row r="102" spans="1:8" x14ac:dyDescent="0.2">
      <c r="A102" s="1084"/>
      <c r="B102" s="1159"/>
      <c r="H102" s="1126"/>
    </row>
    <row r="103" spans="1:8" x14ac:dyDescent="0.2">
      <c r="A103" s="1084"/>
      <c r="B103" s="1159"/>
      <c r="H103" s="1126"/>
    </row>
    <row r="104" spans="1:8" x14ac:dyDescent="0.2">
      <c r="A104" s="1152"/>
      <c r="B104" s="1159"/>
      <c r="H104" s="1126"/>
    </row>
    <row r="105" spans="1:8" x14ac:dyDescent="0.2">
      <c r="A105" s="1152"/>
      <c r="B105" s="1159"/>
      <c r="H105" s="1126"/>
    </row>
    <row r="106" spans="1:8" x14ac:dyDescent="0.2">
      <c r="H106" s="1126"/>
    </row>
    <row r="107" spans="1:8" x14ac:dyDescent="0.2">
      <c r="A107" s="1160"/>
      <c r="H107" s="1126"/>
    </row>
    <row r="108" spans="1:8" x14ac:dyDescent="0.2">
      <c r="A108" s="1160"/>
      <c r="H108" s="1126"/>
    </row>
    <row r="109" spans="1:8" x14ac:dyDescent="0.2">
      <c r="A109" s="1160"/>
      <c r="H109" s="1126"/>
    </row>
    <row r="110" spans="1:8" x14ac:dyDescent="0.2">
      <c r="A110" s="1160"/>
      <c r="H110" s="1126"/>
    </row>
    <row r="111" spans="1:8" x14ac:dyDescent="0.2">
      <c r="A111" s="1160"/>
      <c r="H111" s="1126"/>
    </row>
    <row r="112" spans="1:8" x14ac:dyDescent="0.2">
      <c r="A112" s="1160"/>
      <c r="H112" s="1126"/>
    </row>
    <row r="113" spans="1:11" x14ac:dyDescent="0.2">
      <c r="A113" s="1160"/>
      <c r="H113" s="1126"/>
    </row>
    <row r="114" spans="1:11" s="1161" customFormat="1" x14ac:dyDescent="0.2">
      <c r="C114" s="1162"/>
      <c r="D114" s="1162"/>
      <c r="E114" s="1162"/>
      <c r="F114" s="1162"/>
      <c r="G114" s="1162"/>
      <c r="H114" s="1163"/>
      <c r="I114" s="1162"/>
      <c r="J114" s="1162"/>
      <c r="K114" s="1162"/>
    </row>
    <row r="115" spans="1:11" s="1161" customFormat="1" x14ac:dyDescent="0.2">
      <c r="A115" s="1164"/>
      <c r="B115" s="2515"/>
      <c r="C115" s="2515"/>
      <c r="D115" s="1162"/>
      <c r="E115" s="1162"/>
      <c r="F115" s="1162"/>
      <c r="G115" s="1162"/>
      <c r="H115" s="1163"/>
      <c r="I115" s="1162"/>
      <c r="J115" s="1162"/>
      <c r="K115" s="1162"/>
    </row>
    <row r="116" spans="1:11" x14ac:dyDescent="0.2">
      <c r="A116" s="1162"/>
      <c r="B116" s="1162"/>
      <c r="C116" s="1162"/>
    </row>
    <row r="117" spans="1:11" s="1161" customFormat="1" x14ac:dyDescent="0.2">
      <c r="A117" s="1165"/>
      <c r="B117" s="1165"/>
      <c r="C117" s="1165"/>
      <c r="D117" s="1162"/>
      <c r="E117" s="1162"/>
      <c r="F117" s="1162"/>
      <c r="G117" s="1162"/>
      <c r="H117" s="1163"/>
      <c r="I117" s="1162"/>
      <c r="J117" s="1162"/>
      <c r="K117" s="1162"/>
    </row>
    <row r="118" spans="1:11" s="1161" customFormat="1" x14ac:dyDescent="0.2">
      <c r="A118" s="1164"/>
      <c r="B118" s="1165"/>
      <c r="C118" s="1165"/>
      <c r="D118" s="1162"/>
      <c r="E118" s="1162"/>
      <c r="F118" s="1162"/>
      <c r="G118" s="1162"/>
      <c r="H118" s="1163"/>
      <c r="I118" s="1162"/>
      <c r="J118" s="1162"/>
      <c r="K118" s="1162"/>
    </row>
    <row r="119" spans="1:11" s="1161" customFormat="1" x14ac:dyDescent="0.2">
      <c r="A119" s="1164"/>
      <c r="B119" s="1165"/>
      <c r="C119" s="1165"/>
      <c r="D119" s="1162"/>
      <c r="E119" s="1162"/>
      <c r="F119" s="1162"/>
      <c r="G119" s="1162"/>
      <c r="H119" s="1162"/>
      <c r="I119" s="1162"/>
      <c r="J119" s="1162"/>
      <c r="K119" s="1162"/>
    </row>
    <row r="120" spans="1:11" s="1161" customFormat="1" x14ac:dyDescent="0.2">
      <c r="A120" s="1164"/>
      <c r="B120" s="1165"/>
      <c r="C120" s="1165"/>
      <c r="D120" s="1162"/>
      <c r="E120" s="1162"/>
      <c r="F120" s="1162"/>
      <c r="G120" s="1162"/>
      <c r="H120" s="1162"/>
      <c r="I120" s="1162"/>
      <c r="J120" s="1162"/>
      <c r="K120" s="1162"/>
    </row>
    <row r="121" spans="1:11" s="1161" customFormat="1" x14ac:dyDescent="0.2">
      <c r="A121" s="1164"/>
      <c r="B121" s="1165"/>
      <c r="C121" s="1165"/>
      <c r="D121" s="1162"/>
      <c r="E121" s="1162"/>
      <c r="F121" s="1162"/>
      <c r="G121" s="1162"/>
      <c r="H121" s="1162"/>
      <c r="I121" s="1162"/>
      <c r="J121" s="1162"/>
      <c r="K121" s="1162"/>
    </row>
    <row r="122" spans="1:11" s="1161" customFormat="1" x14ac:dyDescent="0.2">
      <c r="A122" s="1164"/>
      <c r="B122" s="1165"/>
      <c r="C122" s="1165"/>
      <c r="D122" s="1162"/>
      <c r="E122" s="1162"/>
      <c r="F122" s="1162"/>
      <c r="G122" s="1162"/>
      <c r="H122" s="1162"/>
      <c r="I122" s="1162"/>
      <c r="J122" s="1162"/>
      <c r="K122" s="1162"/>
    </row>
    <row r="123" spans="1:11" s="1161" customFormat="1" x14ac:dyDescent="0.2">
      <c r="A123" s="1164"/>
      <c r="B123" s="1165"/>
      <c r="C123" s="1165"/>
      <c r="D123" s="1162"/>
      <c r="E123" s="1162"/>
      <c r="F123" s="1162"/>
      <c r="G123" s="1162"/>
      <c r="H123" s="1162"/>
      <c r="I123" s="1162"/>
      <c r="J123" s="1162"/>
      <c r="K123" s="1162"/>
    </row>
    <row r="124" spans="1:11" s="1161" customFormat="1" x14ac:dyDescent="0.2">
      <c r="A124" s="1164"/>
      <c r="B124" s="1165"/>
      <c r="C124" s="1165"/>
      <c r="D124" s="1162"/>
      <c r="E124" s="1162"/>
      <c r="F124" s="1162"/>
      <c r="G124" s="1162"/>
      <c r="H124" s="1162"/>
      <c r="I124" s="1162"/>
      <c r="J124" s="1162"/>
      <c r="K124" s="1162"/>
    </row>
    <row r="125" spans="1:11" s="1161" customFormat="1" x14ac:dyDescent="0.2">
      <c r="A125" s="1164"/>
      <c r="B125" s="1165"/>
      <c r="C125" s="1165"/>
      <c r="D125" s="1162"/>
      <c r="E125" s="1162"/>
      <c r="F125" s="1162"/>
      <c r="G125" s="1162"/>
      <c r="H125" s="1162"/>
      <c r="I125" s="1162"/>
      <c r="J125" s="1162"/>
      <c r="K125" s="1162"/>
    </row>
    <row r="126" spans="1:11" s="1161" customFormat="1" x14ac:dyDescent="0.2">
      <c r="A126" s="1164"/>
      <c r="B126" s="1165"/>
      <c r="C126" s="1165"/>
      <c r="D126" s="1162"/>
      <c r="E126" s="1162"/>
      <c r="F126" s="1162"/>
      <c r="G126" s="1162"/>
      <c r="H126" s="1162"/>
      <c r="I126" s="1162"/>
      <c r="J126" s="1162"/>
      <c r="K126" s="1162"/>
    </row>
    <row r="127" spans="1:11" s="1161" customFormat="1" x14ac:dyDescent="0.2">
      <c r="A127" s="1164"/>
      <c r="B127" s="1165"/>
      <c r="C127" s="1165"/>
      <c r="D127" s="1162"/>
      <c r="E127" s="1162"/>
      <c r="F127" s="1162"/>
      <c r="G127" s="1162"/>
      <c r="H127" s="1162"/>
      <c r="I127" s="1162"/>
      <c r="J127" s="1162"/>
      <c r="K127" s="1162"/>
    </row>
    <row r="128" spans="1:11" s="1161" customFormat="1" x14ac:dyDescent="0.2">
      <c r="A128" s="1164"/>
      <c r="B128" s="1165"/>
      <c r="C128" s="1165"/>
      <c r="D128" s="1162"/>
      <c r="E128" s="1162"/>
      <c r="F128" s="1162"/>
      <c r="G128" s="1162"/>
      <c r="H128" s="1162"/>
      <c r="I128" s="1162"/>
      <c r="J128" s="1162"/>
      <c r="K128" s="1162"/>
    </row>
    <row r="129" spans="1:11" s="1161" customFormat="1" x14ac:dyDescent="0.2">
      <c r="A129" s="1164"/>
      <c r="B129" s="1165"/>
      <c r="C129" s="1165"/>
      <c r="D129" s="1162"/>
      <c r="E129" s="1162"/>
      <c r="F129" s="1162"/>
      <c r="G129" s="1162"/>
      <c r="H129" s="1162"/>
      <c r="I129" s="1162"/>
      <c r="J129" s="1162"/>
      <c r="K129" s="1162"/>
    </row>
    <row r="130" spans="1:11" s="1161" customFormat="1" x14ac:dyDescent="0.2">
      <c r="A130" s="1164"/>
      <c r="B130" s="1165"/>
      <c r="C130" s="1165"/>
      <c r="D130" s="1162"/>
      <c r="E130" s="1162"/>
      <c r="F130" s="1162"/>
      <c r="G130" s="1162"/>
      <c r="H130" s="1162"/>
      <c r="I130" s="1162"/>
      <c r="J130" s="1162"/>
      <c r="K130" s="1162"/>
    </row>
    <row r="131" spans="1:11" s="1161" customFormat="1" x14ac:dyDescent="0.2">
      <c r="A131" s="1164"/>
      <c r="B131" s="1165"/>
      <c r="C131" s="1165"/>
      <c r="D131" s="1162"/>
      <c r="E131" s="1162"/>
      <c r="F131" s="1162"/>
      <c r="G131" s="1162"/>
      <c r="H131" s="1162"/>
      <c r="I131" s="1162"/>
      <c r="J131" s="1162"/>
      <c r="K131" s="1162"/>
    </row>
    <row r="132" spans="1:11" s="1161" customFormat="1" x14ac:dyDescent="0.2">
      <c r="A132" s="1164"/>
      <c r="B132" s="1165"/>
      <c r="C132" s="1165"/>
      <c r="D132" s="1162"/>
      <c r="E132" s="1162"/>
      <c r="F132" s="1162"/>
      <c r="G132" s="1162"/>
      <c r="H132" s="1162"/>
      <c r="I132" s="1162"/>
      <c r="J132" s="1162"/>
      <c r="K132" s="1162"/>
    </row>
    <row r="133" spans="1:11" s="1161" customFormat="1" x14ac:dyDescent="0.2">
      <c r="A133" s="1164"/>
      <c r="B133" s="1165"/>
      <c r="C133" s="1165"/>
      <c r="D133" s="1162"/>
      <c r="E133" s="1162"/>
      <c r="F133" s="1162"/>
      <c r="G133" s="1162"/>
      <c r="H133" s="1162"/>
      <c r="I133" s="1162"/>
      <c r="J133" s="1162"/>
      <c r="K133" s="1162"/>
    </row>
    <row r="134" spans="1:11" s="1161" customFormat="1" x14ac:dyDescent="0.2">
      <c r="A134" s="1164"/>
      <c r="B134" s="1165"/>
      <c r="C134" s="1165"/>
      <c r="D134" s="1162"/>
      <c r="E134" s="1162"/>
      <c r="F134" s="1162"/>
      <c r="G134" s="1162"/>
      <c r="H134" s="1162"/>
      <c r="I134" s="1162"/>
      <c r="J134" s="1162"/>
      <c r="K134" s="1162"/>
    </row>
    <row r="135" spans="1:11" s="1161" customFormat="1" x14ac:dyDescent="0.2">
      <c r="A135" s="1164"/>
      <c r="B135" s="1165"/>
      <c r="C135" s="1165"/>
      <c r="D135" s="1162"/>
      <c r="E135" s="1162"/>
      <c r="F135" s="1162"/>
      <c r="G135" s="1162"/>
      <c r="H135" s="1162"/>
      <c r="I135" s="1162"/>
      <c r="J135" s="1162"/>
      <c r="K135" s="1162"/>
    </row>
    <row r="136" spans="1:11" s="1161" customFormat="1" x14ac:dyDescent="0.2">
      <c r="A136" s="1164"/>
      <c r="B136" s="1165"/>
      <c r="C136" s="1165"/>
      <c r="D136" s="1162"/>
      <c r="E136" s="1162"/>
      <c r="F136" s="1162"/>
      <c r="G136" s="1162"/>
      <c r="H136" s="1162"/>
      <c r="I136" s="1162"/>
      <c r="J136" s="1162"/>
      <c r="K136" s="1162"/>
    </row>
    <row r="137" spans="1:11" s="1161" customFormat="1" x14ac:dyDescent="0.2">
      <c r="A137" s="1164"/>
      <c r="B137" s="1165"/>
      <c r="C137" s="1165"/>
      <c r="D137" s="1162"/>
      <c r="E137" s="1162"/>
      <c r="F137" s="1162"/>
      <c r="G137" s="1162"/>
      <c r="H137" s="1162"/>
      <c r="I137" s="1162"/>
      <c r="J137" s="1162"/>
      <c r="K137" s="1162"/>
    </row>
    <row r="138" spans="1:11" s="1161" customFormat="1" x14ac:dyDescent="0.2">
      <c r="A138" s="1164"/>
      <c r="B138" s="1165"/>
      <c r="C138" s="1165"/>
      <c r="D138" s="1162"/>
      <c r="E138" s="1162"/>
      <c r="F138" s="1162"/>
      <c r="G138" s="1162"/>
      <c r="H138" s="1162"/>
      <c r="I138" s="1162"/>
      <c r="J138" s="1162"/>
      <c r="K138" s="1162"/>
    </row>
    <row r="139" spans="1:11" s="1161" customFormat="1" x14ac:dyDescent="0.2">
      <c r="A139" s="1164"/>
      <c r="B139" s="1165"/>
      <c r="C139" s="1165"/>
      <c r="D139" s="1162"/>
      <c r="E139" s="1162"/>
      <c r="F139" s="1162"/>
      <c r="G139" s="1162"/>
      <c r="H139" s="1162"/>
      <c r="I139" s="1162"/>
      <c r="J139" s="1162"/>
      <c r="K139" s="1162"/>
    </row>
    <row r="140" spans="1:11" s="1161" customFormat="1" x14ac:dyDescent="0.2">
      <c r="A140" s="1164"/>
      <c r="B140" s="1165"/>
      <c r="C140" s="1165"/>
      <c r="D140" s="1162"/>
      <c r="E140" s="1162"/>
      <c r="F140" s="1162"/>
      <c r="G140" s="1162"/>
      <c r="H140" s="1162"/>
      <c r="I140" s="1162"/>
      <c r="J140" s="1162"/>
      <c r="K140" s="1162"/>
    </row>
    <row r="141" spans="1:11" s="1161" customFormat="1" x14ac:dyDescent="0.2">
      <c r="A141" s="1164"/>
      <c r="B141" s="1165"/>
      <c r="C141" s="1165"/>
      <c r="D141" s="1162"/>
      <c r="E141" s="1162"/>
      <c r="F141" s="1162"/>
      <c r="G141" s="1162"/>
      <c r="H141" s="1162"/>
      <c r="I141" s="1162"/>
      <c r="J141" s="1162"/>
      <c r="K141" s="1162"/>
    </row>
    <row r="142" spans="1:11" s="1161" customFormat="1" x14ac:dyDescent="0.2">
      <c r="A142" s="1164"/>
      <c r="B142" s="1165"/>
      <c r="C142" s="1165"/>
      <c r="D142" s="1162"/>
      <c r="E142" s="1162"/>
      <c r="F142" s="1162"/>
      <c r="G142" s="1162"/>
      <c r="H142" s="1162"/>
      <c r="I142" s="1162"/>
      <c r="J142" s="1162"/>
      <c r="K142" s="1162"/>
    </row>
    <row r="143" spans="1:11" s="1161" customFormat="1" x14ac:dyDescent="0.2">
      <c r="A143" s="1164"/>
      <c r="B143" s="1165"/>
      <c r="C143" s="1165"/>
      <c r="D143" s="1162"/>
      <c r="E143" s="1162"/>
      <c r="F143" s="1162"/>
      <c r="G143" s="1162"/>
      <c r="H143" s="1162"/>
      <c r="I143" s="1162"/>
      <c r="J143" s="1162"/>
      <c r="K143" s="1162"/>
    </row>
    <row r="144" spans="1:11" s="1161" customFormat="1" x14ac:dyDescent="0.2">
      <c r="A144" s="1164"/>
      <c r="B144" s="1162"/>
      <c r="C144" s="1162"/>
      <c r="D144" s="1162"/>
      <c r="E144" s="1162"/>
      <c r="F144" s="1162"/>
      <c r="G144" s="1162"/>
      <c r="H144" s="1162"/>
      <c r="I144" s="1162"/>
      <c r="J144" s="1162"/>
      <c r="K144" s="1162"/>
    </row>
    <row r="145" spans="1:11" s="1161" customFormat="1" x14ac:dyDescent="0.2">
      <c r="A145" s="1164"/>
      <c r="B145" s="1162"/>
      <c r="C145" s="1162"/>
      <c r="D145" s="1162"/>
      <c r="E145" s="1162"/>
      <c r="F145" s="1162"/>
      <c r="G145" s="1162"/>
      <c r="H145" s="1162"/>
      <c r="I145" s="1162"/>
      <c r="J145" s="1162"/>
      <c r="K145" s="1162"/>
    </row>
    <row r="146" spans="1:11" s="1168" customFormat="1" x14ac:dyDescent="0.2">
      <c r="A146" s="1166"/>
      <c r="B146" s="1167"/>
      <c r="C146" s="1167"/>
      <c r="D146" s="1167"/>
      <c r="E146" s="1167"/>
      <c r="F146" s="1167"/>
      <c r="G146" s="1167"/>
      <c r="H146" s="1167"/>
      <c r="I146" s="1167"/>
      <c r="J146" s="1163"/>
      <c r="K146" s="1163"/>
    </row>
    <row r="147" spans="1:11" s="1161" customFormat="1" x14ac:dyDescent="0.2">
      <c r="A147" s="1162"/>
      <c r="B147" s="1164"/>
      <c r="C147" s="1164"/>
      <c r="D147" s="1164"/>
      <c r="E147" s="1164"/>
      <c r="F147" s="1164"/>
      <c r="G147" s="1164"/>
      <c r="H147" s="1165"/>
      <c r="I147" s="1165"/>
      <c r="J147" s="1162"/>
      <c r="K147" s="1162"/>
    </row>
    <row r="148" spans="1:11" s="1161" customFormat="1" x14ac:dyDescent="0.2">
      <c r="A148" s="1162"/>
      <c r="B148" s="1164"/>
      <c r="C148" s="1164"/>
      <c r="D148" s="1164"/>
      <c r="E148" s="1164"/>
      <c r="F148" s="1164"/>
      <c r="G148" s="1164"/>
      <c r="H148" s="1165"/>
      <c r="I148" s="1165"/>
      <c r="J148" s="1162"/>
      <c r="K148" s="1162"/>
    </row>
    <row r="149" spans="1:11" s="1161" customFormat="1" x14ac:dyDescent="0.2">
      <c r="A149" s="1162"/>
      <c r="B149" s="1164"/>
      <c r="C149" s="1164"/>
      <c r="D149" s="1164"/>
      <c r="E149" s="1164"/>
      <c r="F149" s="1164"/>
      <c r="G149" s="1164"/>
      <c r="H149" s="1165"/>
      <c r="I149" s="1165"/>
      <c r="J149" s="1162"/>
      <c r="K149" s="1162"/>
    </row>
    <row r="150" spans="1:11" s="1161" customFormat="1" x14ac:dyDescent="0.2">
      <c r="A150" s="1167"/>
      <c r="B150" s="1167"/>
      <c r="C150" s="1167"/>
      <c r="D150" s="1167"/>
      <c r="E150" s="1167"/>
      <c r="F150" s="1167"/>
      <c r="G150" s="1167"/>
      <c r="H150" s="1167"/>
      <c r="I150" s="1167"/>
      <c r="J150" s="1162"/>
      <c r="K150" s="1162"/>
    </row>
    <row r="151" spans="1:11" s="1161" customFormat="1" x14ac:dyDescent="0.2">
      <c r="A151" s="1162"/>
      <c r="B151" s="1164"/>
      <c r="C151" s="1164"/>
      <c r="D151" s="1164"/>
      <c r="E151" s="1164"/>
      <c r="F151" s="1164"/>
      <c r="G151" s="1164"/>
      <c r="H151" s="1165"/>
      <c r="I151" s="1165"/>
      <c r="J151" s="1162"/>
      <c r="K151" s="1162"/>
    </row>
    <row r="152" spans="1:11" s="1161" customFormat="1" x14ac:dyDescent="0.2">
      <c r="A152" s="1162"/>
      <c r="B152" s="1164"/>
      <c r="C152" s="1164"/>
      <c r="D152" s="1164"/>
      <c r="E152" s="1164"/>
      <c r="F152" s="1164"/>
      <c r="G152" s="1164"/>
      <c r="H152" s="1165"/>
      <c r="I152" s="1165"/>
      <c r="J152" s="1162"/>
      <c r="K152" s="1162"/>
    </row>
    <row r="153" spans="1:11" s="1161" customFormat="1" x14ac:dyDescent="0.2">
      <c r="A153" s="1162"/>
      <c r="B153" s="1164"/>
      <c r="C153" s="1164"/>
      <c r="D153" s="1164"/>
      <c r="E153" s="1164"/>
      <c r="F153" s="1164"/>
      <c r="G153" s="1164"/>
      <c r="H153" s="1165"/>
      <c r="I153" s="1165"/>
      <c r="J153" s="1162"/>
      <c r="K153" s="1162"/>
    </row>
    <row r="154" spans="1:11" s="1161" customFormat="1" x14ac:dyDescent="0.2">
      <c r="A154" s="1162"/>
      <c r="B154" s="1164"/>
      <c r="C154" s="1164"/>
      <c r="D154" s="1164"/>
      <c r="E154" s="1164"/>
      <c r="F154" s="1164"/>
      <c r="G154" s="1164"/>
      <c r="H154" s="1165"/>
      <c r="I154" s="1165"/>
      <c r="J154" s="1162"/>
      <c r="K154" s="1162"/>
    </row>
    <row r="155" spans="1:11" s="1161" customFormat="1" x14ac:dyDescent="0.2">
      <c r="A155" s="1162"/>
      <c r="B155" s="1164"/>
      <c r="C155" s="1164"/>
      <c r="D155" s="1164"/>
      <c r="E155" s="1164"/>
      <c r="F155" s="1164"/>
      <c r="G155" s="1164"/>
      <c r="H155" s="1165"/>
      <c r="I155" s="1165"/>
      <c r="J155" s="1162"/>
      <c r="K155" s="1162"/>
    </row>
    <row r="156" spans="1:11" s="1161" customFormat="1" x14ac:dyDescent="0.2">
      <c r="A156" s="1162"/>
      <c r="B156" s="1164"/>
      <c r="C156" s="1164"/>
      <c r="D156" s="1164"/>
      <c r="E156" s="1164"/>
      <c r="F156" s="1164"/>
      <c r="G156" s="1164"/>
      <c r="H156" s="1165"/>
      <c r="I156" s="1165"/>
      <c r="J156" s="1162"/>
      <c r="K156" s="1162"/>
    </row>
    <row r="157" spans="1:11" s="1161" customFormat="1" x14ac:dyDescent="0.2">
      <c r="A157" s="1162"/>
      <c r="B157" s="1164"/>
      <c r="C157" s="1164"/>
      <c r="D157" s="1164"/>
      <c r="E157" s="1164"/>
      <c r="F157" s="1164"/>
      <c r="G157" s="1164"/>
      <c r="H157" s="1165"/>
      <c r="I157" s="1165"/>
      <c r="J157" s="1162"/>
      <c r="K157" s="1162"/>
    </row>
    <row r="158" spans="1:11" s="1161" customFormat="1" x14ac:dyDescent="0.2">
      <c r="A158" s="1162"/>
      <c r="B158" s="1164"/>
      <c r="C158" s="1164"/>
      <c r="D158" s="1164"/>
      <c r="E158" s="1164"/>
      <c r="F158" s="1164"/>
      <c r="G158" s="1164"/>
      <c r="H158" s="1165"/>
      <c r="I158" s="1165"/>
      <c r="J158" s="1162"/>
      <c r="K158" s="1162"/>
    </row>
    <row r="159" spans="1:11" s="1161" customFormat="1" x14ac:dyDescent="0.2">
      <c r="A159" s="1162"/>
      <c r="B159" s="1164"/>
      <c r="C159" s="1164"/>
      <c r="D159" s="1164"/>
      <c r="E159" s="1164"/>
      <c r="F159" s="1164"/>
      <c r="G159" s="1164"/>
      <c r="H159" s="1165"/>
      <c r="I159" s="1165"/>
      <c r="J159" s="1162"/>
      <c r="K159" s="1162"/>
    </row>
    <row r="160" spans="1:11" s="1161" customFormat="1" x14ac:dyDescent="0.2">
      <c r="A160" s="1162"/>
      <c r="B160" s="1164"/>
      <c r="C160" s="1164"/>
      <c r="D160" s="1164"/>
      <c r="E160" s="1164"/>
      <c r="F160" s="1164"/>
      <c r="G160" s="1164"/>
      <c r="H160" s="1165"/>
      <c r="I160" s="1165"/>
      <c r="J160" s="1162"/>
      <c r="K160" s="1162"/>
    </row>
    <row r="161" spans="1:11" s="1161" customFormat="1" x14ac:dyDescent="0.2">
      <c r="A161" s="1162"/>
      <c r="B161" s="1164"/>
      <c r="C161" s="1164"/>
      <c r="D161" s="1164"/>
      <c r="E161" s="1164"/>
      <c r="F161" s="1164"/>
      <c r="G161" s="1164"/>
      <c r="H161" s="1165"/>
      <c r="I161" s="1165"/>
      <c r="J161" s="1162"/>
      <c r="K161" s="1162"/>
    </row>
    <row r="162" spans="1:11" s="1161" customFormat="1" x14ac:dyDescent="0.2">
      <c r="A162" s="1162"/>
      <c r="B162" s="1164"/>
      <c r="C162" s="1164"/>
      <c r="D162" s="1164"/>
      <c r="E162" s="1164"/>
      <c r="F162" s="1164"/>
      <c r="G162" s="1164"/>
      <c r="H162" s="1165"/>
      <c r="I162" s="1165"/>
      <c r="J162" s="1162"/>
      <c r="K162" s="1162"/>
    </row>
    <row r="163" spans="1:11" s="1161" customFormat="1" x14ac:dyDescent="0.2">
      <c r="A163" s="1162"/>
      <c r="B163" s="1164"/>
      <c r="C163" s="1164"/>
      <c r="D163" s="1164"/>
      <c r="E163" s="1164"/>
      <c r="F163" s="1164"/>
      <c r="G163" s="1164"/>
      <c r="H163" s="1165"/>
      <c r="I163" s="1165"/>
      <c r="J163" s="1162"/>
      <c r="K163" s="1162"/>
    </row>
    <row r="164" spans="1:11" s="1161" customFormat="1" x14ac:dyDescent="0.2">
      <c r="A164" s="1162"/>
      <c r="B164" s="1164"/>
      <c r="C164" s="1164"/>
      <c r="D164" s="1164"/>
      <c r="E164" s="1164"/>
      <c r="F164" s="1164"/>
      <c r="G164" s="1164"/>
      <c r="H164" s="1165"/>
      <c r="I164" s="1165"/>
      <c r="J164" s="1162"/>
      <c r="K164" s="1162"/>
    </row>
    <row r="165" spans="1:11" s="1161" customFormat="1" x14ac:dyDescent="0.2">
      <c r="A165" s="1162"/>
      <c r="B165" s="1164"/>
      <c r="C165" s="1164"/>
      <c r="D165" s="1164"/>
      <c r="E165" s="1164"/>
      <c r="F165" s="1164"/>
      <c r="G165" s="1164"/>
      <c r="H165" s="1165"/>
      <c r="I165" s="1165"/>
      <c r="J165" s="1162"/>
      <c r="K165" s="1162"/>
    </row>
    <row r="166" spans="1:11" s="1161" customFormat="1" x14ac:dyDescent="0.2">
      <c r="A166" s="1162"/>
      <c r="B166" s="1162"/>
      <c r="C166" s="1162"/>
      <c r="D166" s="1162"/>
      <c r="E166" s="1162"/>
      <c r="F166" s="1162"/>
      <c r="G166" s="1162"/>
      <c r="H166" s="1162"/>
      <c r="I166" s="1162"/>
      <c r="J166" s="1162"/>
      <c r="K166" s="1162"/>
    </row>
    <row r="167" spans="1:11" s="1161" customFormat="1" x14ac:dyDescent="0.2">
      <c r="A167" s="1162"/>
      <c r="B167" s="1162"/>
      <c r="C167" s="1162"/>
      <c r="D167" s="1162"/>
      <c r="E167" s="1162"/>
      <c r="F167" s="1162"/>
      <c r="G167" s="1162"/>
      <c r="H167" s="1162"/>
      <c r="I167" s="1162"/>
      <c r="J167" s="1162"/>
      <c r="K167" s="1162"/>
    </row>
    <row r="168" spans="1:11" s="1161" customFormat="1" x14ac:dyDescent="0.2">
      <c r="A168" s="1162"/>
      <c r="B168" s="1162"/>
      <c r="C168" s="1162"/>
      <c r="D168" s="1162"/>
      <c r="E168" s="1162"/>
      <c r="F168" s="1162"/>
      <c r="G168" s="1162"/>
      <c r="H168" s="1162"/>
      <c r="I168" s="1162"/>
      <c r="J168" s="1162"/>
      <c r="K168" s="1162"/>
    </row>
    <row r="169" spans="1:11" s="1161" customFormat="1" x14ac:dyDescent="0.2">
      <c r="A169" s="1162"/>
      <c r="B169" s="1162"/>
      <c r="C169" s="1162"/>
      <c r="D169" s="1162"/>
      <c r="E169" s="1162"/>
      <c r="F169" s="1162"/>
      <c r="G169" s="1162"/>
      <c r="H169" s="1162"/>
      <c r="I169" s="1162"/>
      <c r="J169" s="1162"/>
      <c r="K169" s="1162"/>
    </row>
    <row r="170" spans="1:11" s="1161" customFormat="1" x14ac:dyDescent="0.2">
      <c r="A170" s="1162"/>
      <c r="B170" s="1162"/>
      <c r="C170" s="1162"/>
      <c r="D170" s="1162"/>
      <c r="E170" s="1162"/>
      <c r="F170" s="1162"/>
      <c r="G170" s="1162"/>
      <c r="H170" s="1162"/>
      <c r="I170" s="1162"/>
      <c r="J170" s="1162"/>
      <c r="K170" s="1162"/>
    </row>
    <row r="171" spans="1:11" s="1161" customFormat="1" x14ac:dyDescent="0.2">
      <c r="A171" s="1162"/>
      <c r="B171" s="1162"/>
      <c r="C171" s="1162"/>
      <c r="D171" s="1162"/>
      <c r="E171" s="1162"/>
      <c r="F171" s="1162"/>
      <c r="G171" s="1162"/>
      <c r="H171" s="1162"/>
      <c r="I171" s="1162"/>
      <c r="J171" s="1162"/>
      <c r="K171" s="1162"/>
    </row>
    <row r="172" spans="1:11" s="1161" customFormat="1" x14ac:dyDescent="0.2">
      <c r="A172" s="1162"/>
      <c r="B172" s="1162"/>
      <c r="C172" s="1162"/>
      <c r="D172" s="1162"/>
      <c r="E172" s="1162"/>
      <c r="F172" s="1162"/>
      <c r="G172" s="1162"/>
      <c r="H172" s="1162"/>
      <c r="I172" s="1162"/>
      <c r="J172" s="1162"/>
      <c r="K172" s="1162"/>
    </row>
    <row r="173" spans="1:11" s="1161" customFormat="1" x14ac:dyDescent="0.2">
      <c r="A173" s="1162"/>
      <c r="B173" s="1162"/>
      <c r="C173" s="1162"/>
      <c r="D173" s="1162"/>
      <c r="J173" s="1162"/>
      <c r="K173" s="1162"/>
    </row>
    <row r="174" spans="1:11" s="1161" customFormat="1" x14ac:dyDescent="0.2">
      <c r="A174" s="1162"/>
      <c r="B174" s="1162"/>
      <c r="C174" s="1162"/>
      <c r="D174" s="1162"/>
      <c r="J174" s="1162"/>
      <c r="K174" s="1162"/>
    </row>
    <row r="175" spans="1:11" s="1161" customFormat="1" x14ac:dyDescent="0.2">
      <c r="A175" s="1162"/>
      <c r="B175" s="1162"/>
      <c r="C175" s="1162"/>
      <c r="D175" s="1162"/>
      <c r="J175" s="1162"/>
      <c r="K175" s="1162"/>
    </row>
    <row r="176" spans="1:11" s="1161" customFormat="1" x14ac:dyDescent="0.2">
      <c r="A176" s="1162"/>
      <c r="B176" s="1162"/>
      <c r="C176" s="1162"/>
      <c r="D176" s="1162"/>
      <c r="J176" s="1162"/>
      <c r="K176" s="1162"/>
    </row>
    <row r="177" spans="1:11" s="1161" customFormat="1" x14ac:dyDescent="0.2">
      <c r="A177" s="1162"/>
      <c r="B177" s="1162"/>
      <c r="C177" s="1162"/>
      <c r="D177" s="1162"/>
      <c r="J177" s="1162"/>
      <c r="K177" s="1162"/>
    </row>
    <row r="178" spans="1:11" s="1161" customFormat="1" x14ac:dyDescent="0.2">
      <c r="A178" s="1162"/>
      <c r="B178" s="1162"/>
      <c r="C178" s="1162"/>
      <c r="D178" s="1162"/>
      <c r="J178" s="1162"/>
      <c r="K178" s="1162"/>
    </row>
    <row r="179" spans="1:11" s="1161" customFormat="1" x14ac:dyDescent="0.2">
      <c r="A179" s="1162"/>
      <c r="B179" s="1162"/>
      <c r="C179" s="1162"/>
      <c r="D179" s="1162"/>
      <c r="J179" s="1162"/>
      <c r="K179" s="1162"/>
    </row>
    <row r="180" spans="1:11" s="1161" customFormat="1" x14ac:dyDescent="0.2">
      <c r="A180" s="1162"/>
      <c r="B180" s="1162"/>
      <c r="C180" s="1162"/>
      <c r="D180" s="1162"/>
      <c r="J180" s="1162"/>
      <c r="K180" s="1162"/>
    </row>
    <row r="181" spans="1:11" s="1161" customFormat="1" x14ac:dyDescent="0.2">
      <c r="A181" s="1162"/>
      <c r="B181" s="1162"/>
      <c r="C181" s="1162"/>
      <c r="D181" s="1162"/>
      <c r="J181" s="1162"/>
      <c r="K181" s="1162"/>
    </row>
    <row r="182" spans="1:11" s="1161" customFormat="1" x14ac:dyDescent="0.2">
      <c r="A182" s="1162"/>
      <c r="B182" s="1162"/>
      <c r="C182" s="1162"/>
      <c r="D182" s="1162"/>
      <c r="J182" s="1162"/>
      <c r="K182" s="1162"/>
    </row>
    <row r="183" spans="1:11" s="1161" customFormat="1" x14ac:dyDescent="0.2">
      <c r="A183" s="1162"/>
      <c r="B183" s="1162"/>
      <c r="C183" s="1162"/>
      <c r="D183" s="1162"/>
      <c r="J183" s="1162"/>
      <c r="K183" s="1162"/>
    </row>
    <row r="184" spans="1:11" s="1161" customFormat="1" x14ac:dyDescent="0.2">
      <c r="A184" s="1162"/>
      <c r="B184" s="1162"/>
      <c r="C184" s="1162"/>
      <c r="D184" s="1162"/>
      <c r="J184" s="1162"/>
      <c r="K184" s="1162"/>
    </row>
    <row r="185" spans="1:11" s="1161" customFormat="1" x14ac:dyDescent="0.2">
      <c r="A185" s="1162"/>
      <c r="B185" s="1162"/>
      <c r="C185" s="1162"/>
      <c r="D185" s="1162"/>
      <c r="J185" s="1162"/>
      <c r="K185" s="1162"/>
    </row>
    <row r="186" spans="1:11" s="1161" customFormat="1" x14ac:dyDescent="0.2"/>
    <row r="187" spans="1:11" s="1161" customFormat="1" x14ac:dyDescent="0.2"/>
    <row r="188" spans="1:11" s="1161" customFormat="1" x14ac:dyDescent="0.2"/>
    <row r="189" spans="1:11" s="1161" customFormat="1" x14ac:dyDescent="0.2"/>
    <row r="190" spans="1:11" s="1161" customFormat="1" x14ac:dyDescent="0.2"/>
  </sheetData>
  <sheetProtection selectLockedCells="1" selectUnlockedCells="1"/>
  <mergeCells count="54">
    <mergeCell ref="A4:A5"/>
    <mergeCell ref="B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15:C115"/>
    <mergeCell ref="B14:C14"/>
    <mergeCell ref="D14:E14"/>
    <mergeCell ref="F14:G14"/>
    <mergeCell ref="H14:I14"/>
    <mergeCell ref="B15:I15"/>
    <mergeCell ref="A79:I79"/>
    <mergeCell ref="A80:I80"/>
    <mergeCell ref="A81:I81"/>
    <mergeCell ref="A82:I82"/>
    <mergeCell ref="A83:I83"/>
    <mergeCell ref="A16:A17"/>
    <mergeCell ref="B16:C16"/>
    <mergeCell ref="D16:E16"/>
    <mergeCell ref="F16:G16"/>
    <mergeCell ref="H16:I16"/>
  </mergeCells>
  <dataValidations count="15">
    <dataValidation type="list" allowBlank="1" showInputMessage="1" showErrorMessage="1" sqref="B13:I13" xr:uid="{90EA4B37-A16F-4BC2-BB51-B83275F32C06}">
      <formula1>RCHVF</formula1>
    </dataValidation>
    <dataValidation type="list" allowBlank="1" showInputMessage="1" showErrorMessage="1" sqref="H6:I6" xr:uid="{F96B6480-84F5-4A5E-B590-29A133307502}">
      <formula1>KPHTG</formula1>
    </dataValidation>
    <dataValidation type="list" allowBlank="1" showInputMessage="1" showErrorMessage="1" sqref="F6:G6" xr:uid="{2E7F180B-81DE-450D-8263-4DC6BFEDD429}">
      <formula1>TTAIM</formula1>
    </dataValidation>
    <dataValidation type="list" allowBlank="1" showInputMessage="1" showErrorMessage="1" sqref="D6:E6" xr:uid="{4F6F2F5E-9377-452C-B567-5FCA4AC72795}">
      <formula1>RCUTI</formula1>
    </dataValidation>
    <dataValidation type="list" allowBlank="1" showInputMessage="1" showErrorMessage="1" sqref="B6:C6" xr:uid="{1B0F83E0-9104-4467-879E-67A4829CF25C}">
      <formula1>CBUAQ</formula1>
    </dataValidation>
    <dataValidation type="decimal" operator="lessThanOrEqual" allowBlank="1" showInputMessage="1" showErrorMessage="1" sqref="H7 B7 D7 F7" xr:uid="{9AEFC0AE-A580-4CB4-956C-7CF2673EB8F5}">
      <formula1>3</formula1>
    </dataValidation>
    <dataValidation type="list" allowBlank="1" showInputMessage="1" showErrorMessage="1" sqref="B11 D11 F11 H11" xr:uid="{6F1CA0E2-EA96-413C-AD2D-53616B65FFA6}">
      <formula1>"да, нет"</formula1>
    </dataValidation>
    <dataValidation type="list" allowBlank="1" showInputMessage="1" showErrorMessage="1" sqref="B12:C12" xr:uid="{D0B23F3F-52C4-45E8-83E1-F8A758FF2723}">
      <formula1>GQIBE</formula1>
    </dataValidation>
    <dataValidation type="list" allowBlank="1" showInputMessage="1" showErrorMessage="1" sqref="D12:E12" xr:uid="{B107ED9C-ABDA-45ED-9DF0-B26FDFAC30C5}">
      <formula1>PSAXR</formula1>
    </dataValidation>
    <dataValidation type="list" allowBlank="1" showInputMessage="1" showErrorMessage="1" sqref="F12:G12" xr:uid="{96D2A9D6-7BF4-44E0-90A7-B3C5A3FDDC90}">
      <formula1>TAYYL</formula1>
    </dataValidation>
    <dataValidation type="list" allowBlank="1" showInputMessage="1" showErrorMessage="1" sqref="H12:I12" xr:uid="{2E2AD80D-9B23-455E-AFEF-895182D93BAA}">
      <formula1>OGGLT</formula1>
    </dataValidation>
    <dataValidation type="list" allowBlank="1" showInputMessage="1" showErrorMessage="1" sqref="B14:C14" xr:uid="{BC04C24C-68D7-4EC7-A351-B47D81AC74AF}">
      <formula1>BTYPS</formula1>
    </dataValidation>
    <dataValidation type="list" allowBlank="1" showInputMessage="1" showErrorMessage="1" sqref="D14:E14" xr:uid="{79D1BF59-9ECA-4B77-899D-E8CA6E94C2BC}">
      <formula1>MUGNQ</formula1>
    </dataValidation>
    <dataValidation type="list" allowBlank="1" showInputMessage="1" showErrorMessage="1" sqref="F14:G14" xr:uid="{5A5F4440-95B7-450F-8699-8CAE08DF33CC}">
      <formula1>IANCJ</formula1>
    </dataValidation>
    <dataValidation type="list" allowBlank="1" showInputMessage="1" showErrorMessage="1" sqref="H14:I14" xr:uid="{5B09A03E-C933-4364-8C44-DC4EE25DD080}">
      <formula1>CEXUI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rstPageNumber="0" fitToHeight="2" orientation="portrait" r:id="rId1"/>
  <headerFooter scaleWithDoc="0"/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00C7-224F-45F7-B958-E2D1B5192FB1}">
  <sheetPr>
    <tabColor theme="9"/>
    <pageSetUpPr fitToPage="1"/>
  </sheetPr>
  <dimension ref="A1:EL386"/>
  <sheetViews>
    <sheetView showGridLines="0" zoomScaleNormal="100" zoomScaleSheetLayoutView="55" workbookViewId="0">
      <selection activeCell="P29" sqref="P29"/>
    </sheetView>
  </sheetViews>
  <sheetFormatPr defaultColWidth="9.140625" defaultRowHeight="15" customHeight="1" x14ac:dyDescent="0.3"/>
  <cols>
    <col min="1" max="1" width="46.5703125" style="1172" customWidth="1"/>
    <col min="2" max="2" width="18.28515625" style="1172" bestFit="1" customWidth="1"/>
    <col min="3" max="3" width="18.140625" style="1172" customWidth="1"/>
    <col min="4" max="4" width="6.7109375" style="1172" customWidth="1"/>
    <col min="5" max="9" width="12" style="1172" customWidth="1"/>
    <col min="10" max="113" width="12" style="1187" customWidth="1"/>
    <col min="114" max="122" width="12" style="1172" customWidth="1"/>
    <col min="123" max="123" width="23.7109375" style="1172" bestFit="1" customWidth="1"/>
    <col min="124" max="124" width="18" style="1172" customWidth="1"/>
    <col min="125" max="125" width="27.42578125" style="1172" bestFit="1" customWidth="1"/>
    <col min="126" max="126" width="9.140625" style="1172" customWidth="1"/>
    <col min="127" max="127" width="3" style="1172" customWidth="1"/>
    <col min="128" max="128" width="35.28515625" style="1172" customWidth="1"/>
    <col min="129" max="129" width="11.28515625" style="1172" customWidth="1"/>
    <col min="130" max="130" width="31" style="1172" customWidth="1"/>
    <col min="131" max="131" width="9.140625" style="1172"/>
    <col min="132" max="132" width="19.7109375" style="1172" bestFit="1" customWidth="1"/>
    <col min="133" max="16384" width="9.140625" style="1172"/>
  </cols>
  <sheetData>
    <row r="1" spans="1:129" x14ac:dyDescent="0.3">
      <c r="A1" s="1171">
        <v>45882</v>
      </c>
      <c r="D1" s="1173"/>
      <c r="E1" s="1174"/>
      <c r="F1" s="1174"/>
      <c r="G1" s="1174"/>
      <c r="H1" s="1174"/>
      <c r="I1" s="1174"/>
      <c r="J1" s="1175"/>
      <c r="K1" s="1175"/>
      <c r="L1" s="1175"/>
      <c r="M1" s="1175"/>
      <c r="N1" s="1175"/>
      <c r="O1" s="1175"/>
      <c r="P1" s="1175"/>
      <c r="Q1" s="1175"/>
      <c r="R1" s="1175"/>
      <c r="S1" s="1175"/>
      <c r="T1" s="1175"/>
      <c r="U1" s="1175"/>
      <c r="V1" s="1175"/>
      <c r="W1" s="1175"/>
      <c r="X1" s="1175"/>
      <c r="Y1" s="1175"/>
      <c r="Z1" s="1175"/>
      <c r="AA1" s="1175"/>
      <c r="AB1" s="1175"/>
      <c r="AC1" s="1175"/>
      <c r="AD1" s="1175"/>
      <c r="AE1" s="1175"/>
      <c r="AF1" s="1175"/>
      <c r="AG1" s="1175"/>
      <c r="AH1" s="1175"/>
      <c r="AI1" s="1175"/>
      <c r="AJ1" s="1175"/>
      <c r="AK1" s="1175"/>
      <c r="AL1" s="1175"/>
      <c r="AM1" s="1175"/>
      <c r="AN1" s="1175"/>
      <c r="AO1" s="1175"/>
      <c r="AP1" s="1175"/>
      <c r="AQ1" s="1175"/>
      <c r="AR1" s="1175"/>
      <c r="AS1" s="1175"/>
      <c r="AT1" s="1175"/>
      <c r="AU1" s="1175"/>
      <c r="AV1" s="1175"/>
      <c r="AW1" s="1175"/>
      <c r="AX1" s="1175"/>
      <c r="AY1" s="1175"/>
      <c r="AZ1" s="1175"/>
      <c r="BA1" s="1175"/>
      <c r="BB1" s="1175"/>
      <c r="BC1" s="1175"/>
      <c r="BD1" s="1175"/>
      <c r="BE1" s="1175"/>
      <c r="BF1" s="1175"/>
      <c r="BG1" s="1175"/>
      <c r="BH1" s="1175"/>
      <c r="BI1" s="1175"/>
      <c r="BJ1" s="1175"/>
      <c r="BK1" s="1175"/>
      <c r="BL1" s="1175"/>
      <c r="BM1" s="1175"/>
      <c r="BN1" s="1175"/>
      <c r="BO1" s="1175"/>
      <c r="BP1" s="1175"/>
      <c r="BQ1" s="1175"/>
      <c r="BR1" s="1175"/>
      <c r="BS1" s="1175"/>
      <c r="BT1" s="1175"/>
      <c r="BU1" s="1175"/>
      <c r="BV1" s="1175"/>
      <c r="BW1" s="1175"/>
      <c r="BX1" s="1175"/>
      <c r="BY1" s="1175"/>
      <c r="BZ1" s="1175"/>
      <c r="CA1" s="1175"/>
      <c r="CB1" s="1175"/>
      <c r="CC1" s="1175"/>
      <c r="CD1" s="1175"/>
      <c r="CE1" s="1175"/>
      <c r="CF1" s="1175"/>
      <c r="CG1" s="1175"/>
      <c r="CH1" s="1175"/>
      <c r="CI1" s="1175"/>
      <c r="CJ1" s="1175"/>
      <c r="CK1" s="1175"/>
      <c r="CL1" s="1175"/>
      <c r="CM1" s="1175"/>
      <c r="CN1" s="1175"/>
      <c r="CO1" s="1175"/>
      <c r="CP1" s="1175"/>
      <c r="CQ1" s="1175"/>
      <c r="CR1" s="1175"/>
      <c r="CS1" s="1175"/>
      <c r="CT1" s="1175"/>
      <c r="CU1" s="1175"/>
      <c r="CV1" s="1175"/>
      <c r="CW1" s="1175"/>
      <c r="CX1" s="1175"/>
      <c r="CY1" s="1175"/>
      <c r="CZ1" s="1175"/>
      <c r="DA1" s="1175"/>
      <c r="DB1" s="1175"/>
      <c r="DC1" s="1175"/>
      <c r="DD1" s="1175"/>
      <c r="DE1" s="1175"/>
      <c r="DF1" s="1175"/>
      <c r="DG1" s="1175"/>
      <c r="DH1" s="1175"/>
      <c r="DI1" s="1175"/>
      <c r="DJ1" s="1174"/>
      <c r="DK1" s="1174"/>
      <c r="DL1" s="1174"/>
      <c r="DM1" s="1174"/>
      <c r="DN1" s="1174"/>
      <c r="DO1" s="1174"/>
      <c r="DP1" s="1174"/>
      <c r="DQ1" s="1174"/>
      <c r="DR1" s="1174"/>
      <c r="DS1" s="1174"/>
      <c r="DT1" s="1174"/>
      <c r="DU1" s="1174"/>
      <c r="DY1" s="1174"/>
    </row>
    <row r="2" spans="1:129" x14ac:dyDescent="0.3">
      <c r="A2" s="1176"/>
      <c r="E2" s="1174"/>
      <c r="F2" s="1174"/>
      <c r="G2" s="1174"/>
      <c r="H2" s="1174"/>
      <c r="I2" s="1174"/>
      <c r="J2" s="1175"/>
      <c r="K2" s="1175"/>
      <c r="L2" s="1175"/>
      <c r="M2" s="1175"/>
      <c r="N2" s="1175"/>
      <c r="O2" s="1175"/>
      <c r="P2" s="1175"/>
      <c r="Q2" s="1175"/>
      <c r="R2" s="1175"/>
      <c r="S2" s="1175"/>
      <c r="T2" s="1175"/>
      <c r="U2" s="1175"/>
      <c r="V2" s="1175"/>
      <c r="W2" s="1175"/>
      <c r="X2" s="1175"/>
      <c r="Y2" s="1175"/>
      <c r="Z2" s="1175"/>
      <c r="AA2" s="1175"/>
      <c r="AB2" s="1175"/>
      <c r="AC2" s="1175"/>
      <c r="AD2" s="1175"/>
      <c r="AE2" s="1175"/>
      <c r="AF2" s="1175"/>
      <c r="AG2" s="1175"/>
      <c r="AH2" s="1175"/>
      <c r="AI2" s="1175"/>
      <c r="AJ2" s="1175"/>
      <c r="AK2" s="1175"/>
      <c r="AL2" s="1175"/>
      <c r="AM2" s="1175"/>
      <c r="AN2" s="1175"/>
      <c r="AO2" s="1175"/>
      <c r="AP2" s="1175"/>
      <c r="AQ2" s="1175"/>
      <c r="AR2" s="1175"/>
      <c r="AS2" s="1175"/>
      <c r="AT2" s="1175"/>
      <c r="AU2" s="1175"/>
      <c r="AV2" s="1175"/>
      <c r="AW2" s="1175"/>
      <c r="AX2" s="1175"/>
      <c r="AY2" s="1175"/>
      <c r="AZ2" s="1175"/>
      <c r="BA2" s="1175"/>
      <c r="BB2" s="1175"/>
      <c r="BC2" s="1175"/>
      <c r="BD2" s="1175"/>
      <c r="BE2" s="1175"/>
      <c r="BF2" s="1175"/>
      <c r="BG2" s="1175"/>
      <c r="BH2" s="1175"/>
      <c r="BI2" s="1175"/>
      <c r="BJ2" s="1175"/>
      <c r="BK2" s="1175"/>
      <c r="BL2" s="1175"/>
      <c r="BM2" s="1175"/>
      <c r="BN2" s="1175"/>
      <c r="BO2" s="1175"/>
      <c r="BP2" s="1175"/>
      <c r="BQ2" s="1175"/>
      <c r="BR2" s="1175"/>
      <c r="BS2" s="1175"/>
      <c r="BT2" s="1175"/>
      <c r="BU2" s="1175"/>
      <c r="BV2" s="1175"/>
      <c r="BW2" s="1175"/>
      <c r="BX2" s="1175"/>
      <c r="BY2" s="1175"/>
      <c r="BZ2" s="1175"/>
      <c r="CA2" s="1175"/>
      <c r="CB2" s="1175"/>
      <c r="CC2" s="1175"/>
      <c r="CD2" s="1175"/>
      <c r="CE2" s="1175"/>
      <c r="CF2" s="1175"/>
      <c r="CG2" s="1175"/>
      <c r="CH2" s="1175"/>
      <c r="CI2" s="1175"/>
      <c r="CJ2" s="1175"/>
      <c r="CK2" s="1175"/>
      <c r="CL2" s="1175"/>
      <c r="CM2" s="1175"/>
      <c r="CN2" s="1175"/>
      <c r="CO2" s="1175"/>
      <c r="CP2" s="1175"/>
      <c r="CQ2" s="1175"/>
      <c r="CR2" s="1175"/>
      <c r="CS2" s="1175"/>
      <c r="CT2" s="1175"/>
      <c r="CU2" s="1175"/>
      <c r="CV2" s="1175"/>
      <c r="CW2" s="1175"/>
      <c r="CX2" s="1175"/>
      <c r="CY2" s="1175"/>
      <c r="CZ2" s="1175"/>
      <c r="DA2" s="1175"/>
      <c r="DB2" s="1175"/>
      <c r="DC2" s="1175"/>
      <c r="DD2" s="1175"/>
      <c r="DE2" s="1175"/>
      <c r="DF2" s="1175"/>
      <c r="DG2" s="1175"/>
      <c r="DH2" s="1175"/>
      <c r="DI2" s="1175"/>
      <c r="DJ2" s="1174"/>
      <c r="DK2" s="1174"/>
      <c r="DL2" s="1174"/>
      <c r="DM2" s="1174"/>
      <c r="DN2" s="1174"/>
      <c r="DO2" s="1174"/>
      <c r="DP2" s="1174"/>
      <c r="DQ2" s="1174"/>
      <c r="DR2" s="1174"/>
      <c r="DS2" s="1174"/>
      <c r="DT2" s="1174"/>
      <c r="DU2" s="1174"/>
      <c r="DY2" s="1174"/>
    </row>
    <row r="3" spans="1:129" x14ac:dyDescent="0.3">
      <c r="A3" s="1177"/>
      <c r="E3" s="1174"/>
      <c r="F3" s="1174"/>
      <c r="G3" s="1174"/>
      <c r="H3" s="1174"/>
      <c r="I3" s="1174"/>
      <c r="J3" s="1175"/>
      <c r="K3" s="1175"/>
      <c r="L3" s="1175"/>
      <c r="M3" s="1175"/>
      <c r="N3" s="1175"/>
      <c r="O3" s="1175"/>
      <c r="P3" s="1175"/>
      <c r="Q3" s="1175"/>
      <c r="R3" s="1175"/>
      <c r="S3" s="1175"/>
      <c r="T3" s="1175"/>
      <c r="U3" s="1175"/>
      <c r="V3" s="1175"/>
      <c r="W3" s="1175"/>
      <c r="X3" s="1175"/>
      <c r="Y3" s="1175"/>
      <c r="Z3" s="1175"/>
      <c r="AA3" s="1175"/>
      <c r="AB3" s="1175"/>
      <c r="AC3" s="1175"/>
      <c r="AD3" s="1175"/>
      <c r="AE3" s="1175"/>
      <c r="AF3" s="1175"/>
      <c r="AG3" s="1175"/>
      <c r="AH3" s="1175"/>
      <c r="AI3" s="1175"/>
      <c r="AJ3" s="1175"/>
      <c r="AK3" s="1175"/>
      <c r="AL3" s="1175"/>
      <c r="AM3" s="1175"/>
      <c r="AN3" s="1175"/>
      <c r="AO3" s="1175"/>
      <c r="AP3" s="1175"/>
      <c r="AQ3" s="1175"/>
      <c r="AR3" s="1175"/>
      <c r="AS3" s="1175"/>
      <c r="AT3" s="1175"/>
      <c r="AU3" s="1175"/>
      <c r="AV3" s="1175"/>
      <c r="AW3" s="1175"/>
      <c r="AX3" s="1175"/>
      <c r="AY3" s="1175"/>
      <c r="AZ3" s="1175"/>
      <c r="BA3" s="1175"/>
      <c r="BB3" s="1175"/>
      <c r="BC3" s="1175"/>
      <c r="BD3" s="1175"/>
      <c r="BE3" s="1175"/>
      <c r="BF3" s="1175"/>
      <c r="BG3" s="1175"/>
      <c r="BH3" s="1175"/>
      <c r="BI3" s="1175"/>
      <c r="BJ3" s="1175"/>
      <c r="BK3" s="1175"/>
      <c r="BL3" s="1175"/>
      <c r="BM3" s="1175"/>
      <c r="BN3" s="1175"/>
      <c r="BO3" s="1175"/>
      <c r="BP3" s="1175"/>
      <c r="BQ3" s="1175"/>
      <c r="BR3" s="1175"/>
      <c r="BS3" s="1175"/>
      <c r="BT3" s="1175"/>
      <c r="BU3" s="1175"/>
      <c r="BV3" s="1175"/>
      <c r="BW3" s="1175"/>
      <c r="BX3" s="1175"/>
      <c r="BY3" s="1175"/>
      <c r="BZ3" s="1175"/>
      <c r="CA3" s="1175"/>
      <c r="CB3" s="1175"/>
      <c r="CC3" s="1175"/>
      <c r="CD3" s="1175"/>
      <c r="CE3" s="1175"/>
      <c r="CF3" s="1175"/>
      <c r="CG3" s="1175"/>
      <c r="CH3" s="1175"/>
      <c r="CI3" s="1175"/>
      <c r="CJ3" s="1175"/>
      <c r="CK3" s="1175"/>
      <c r="CL3" s="1175"/>
      <c r="CM3" s="1175"/>
      <c r="CN3" s="1175"/>
      <c r="CO3" s="1175"/>
      <c r="CP3" s="1175"/>
      <c r="CQ3" s="1175"/>
      <c r="CR3" s="1175"/>
      <c r="CS3" s="1175"/>
      <c r="CT3" s="1175"/>
      <c r="CU3" s="1175"/>
      <c r="CV3" s="1175"/>
      <c r="CW3" s="1175"/>
      <c r="CX3" s="1175"/>
      <c r="CY3" s="1175"/>
      <c r="CZ3" s="1175"/>
      <c r="DA3" s="1175"/>
      <c r="DB3" s="1175"/>
      <c r="DC3" s="1175"/>
      <c r="DD3" s="1175"/>
      <c r="DE3" s="1175"/>
      <c r="DF3" s="1175"/>
      <c r="DG3" s="1175"/>
      <c r="DH3" s="1175"/>
      <c r="DI3" s="1175"/>
      <c r="DJ3" s="1174"/>
      <c r="DK3" s="1174"/>
      <c r="DL3" s="1174"/>
      <c r="DM3" s="1174"/>
      <c r="DN3" s="1174"/>
      <c r="DO3" s="1174"/>
      <c r="DP3" s="1174"/>
      <c r="DQ3" s="1174"/>
      <c r="DR3" s="1174"/>
      <c r="DS3" s="1174"/>
      <c r="DT3" s="1174"/>
      <c r="DU3" s="1174"/>
      <c r="DY3" s="1174"/>
    </row>
    <row r="4" spans="1:129" x14ac:dyDescent="0.3">
      <c r="E4" s="1174"/>
      <c r="F4" s="1174"/>
      <c r="G4" s="1174"/>
      <c r="H4" s="1174"/>
      <c r="I4" s="1174"/>
      <c r="J4" s="1175"/>
      <c r="K4" s="1175"/>
      <c r="L4" s="1175"/>
      <c r="M4" s="1175"/>
      <c r="N4" s="1175"/>
      <c r="O4" s="1175"/>
      <c r="P4" s="1175"/>
      <c r="Q4" s="1175"/>
      <c r="R4" s="1175"/>
      <c r="S4" s="1175"/>
      <c r="T4" s="1175"/>
      <c r="U4" s="1175"/>
      <c r="V4" s="1175"/>
      <c r="W4" s="1175"/>
      <c r="X4" s="1175"/>
      <c r="Y4" s="1175"/>
      <c r="Z4" s="1175"/>
      <c r="AA4" s="1175"/>
      <c r="AB4" s="1175"/>
      <c r="AC4" s="1175"/>
      <c r="AD4" s="1175"/>
      <c r="AE4" s="1175"/>
      <c r="AF4" s="1175"/>
      <c r="AG4" s="1175"/>
      <c r="AH4" s="1175"/>
      <c r="AI4" s="1175"/>
      <c r="AJ4" s="1175"/>
      <c r="AK4" s="1175"/>
      <c r="AL4" s="1175"/>
      <c r="AM4" s="1175"/>
      <c r="AN4" s="1175"/>
      <c r="AO4" s="1175"/>
      <c r="AP4" s="1175"/>
      <c r="AQ4" s="1175"/>
      <c r="AR4" s="1175"/>
      <c r="AS4" s="1175"/>
      <c r="AT4" s="1175"/>
      <c r="AU4" s="1175"/>
      <c r="AV4" s="1175"/>
      <c r="AW4" s="1175"/>
      <c r="AX4" s="1175"/>
      <c r="AY4" s="1175"/>
      <c r="AZ4" s="1175"/>
      <c r="BA4" s="1175"/>
      <c r="BB4" s="1175"/>
      <c r="BC4" s="1175"/>
      <c r="BD4" s="1175"/>
      <c r="BE4" s="1175"/>
      <c r="BF4" s="1175"/>
      <c r="BG4" s="1175"/>
      <c r="BH4" s="1175"/>
      <c r="BI4" s="1175"/>
      <c r="BJ4" s="1175"/>
      <c r="BK4" s="1175"/>
      <c r="BL4" s="1175"/>
      <c r="BM4" s="1175"/>
      <c r="BN4" s="1175"/>
      <c r="BO4" s="1175"/>
      <c r="BP4" s="1175"/>
      <c r="BQ4" s="1175"/>
      <c r="BR4" s="1175"/>
      <c r="BS4" s="1175"/>
      <c r="BT4" s="1175"/>
      <c r="BU4" s="1175"/>
      <c r="BV4" s="1175"/>
      <c r="BW4" s="1175"/>
      <c r="BX4" s="1175"/>
      <c r="BY4" s="1175"/>
      <c r="BZ4" s="1175"/>
      <c r="CA4" s="1175"/>
      <c r="CB4" s="1175"/>
      <c r="CC4" s="1175"/>
      <c r="CD4" s="1175"/>
      <c r="CE4" s="1175"/>
      <c r="CF4" s="1175"/>
      <c r="CG4" s="1175"/>
      <c r="CH4" s="1175"/>
      <c r="CI4" s="1175"/>
      <c r="CJ4" s="1175"/>
      <c r="CK4" s="1175"/>
      <c r="CL4" s="1175"/>
      <c r="CM4" s="1175"/>
      <c r="CN4" s="1175"/>
      <c r="CO4" s="1175"/>
      <c r="CP4" s="1175"/>
      <c r="CQ4" s="1175"/>
      <c r="CR4" s="1175"/>
      <c r="CS4" s="1175"/>
      <c r="CT4" s="1175"/>
      <c r="CU4" s="1175"/>
      <c r="CV4" s="1175"/>
      <c r="CW4" s="1175"/>
      <c r="CX4" s="1175"/>
      <c r="CY4" s="1175"/>
      <c r="CZ4" s="1175"/>
      <c r="DA4" s="1175"/>
      <c r="DB4" s="1175"/>
      <c r="DC4" s="1175"/>
      <c r="DD4" s="1175"/>
      <c r="DE4" s="1175"/>
      <c r="DF4" s="1175"/>
      <c r="DG4" s="1175"/>
      <c r="DH4" s="1175"/>
      <c r="DI4" s="1175"/>
      <c r="DJ4" s="1174"/>
      <c r="DK4" s="1174"/>
      <c r="DL4" s="1174"/>
      <c r="DM4" s="1174"/>
      <c r="DN4" s="1174"/>
      <c r="DO4" s="1174"/>
      <c r="DP4" s="1174"/>
      <c r="DQ4" s="1174"/>
      <c r="DR4" s="1174"/>
      <c r="DS4" s="1174"/>
      <c r="DT4" s="1174"/>
      <c r="DU4" s="1174"/>
      <c r="DY4" s="1174"/>
    </row>
    <row r="5" spans="1:129" x14ac:dyDescent="0.3">
      <c r="E5" s="1174"/>
      <c r="F5" s="1174"/>
      <c r="G5" s="1174"/>
      <c r="H5" s="1174"/>
      <c r="I5" s="1174"/>
      <c r="J5" s="1175"/>
      <c r="K5" s="1175"/>
      <c r="L5" s="1175"/>
      <c r="M5" s="1175"/>
      <c r="N5" s="1175"/>
      <c r="O5" s="1175"/>
      <c r="P5" s="1175"/>
      <c r="Q5" s="1175"/>
      <c r="R5" s="1175"/>
      <c r="S5" s="1175"/>
      <c r="T5" s="1175"/>
      <c r="U5" s="1175"/>
      <c r="V5" s="1175"/>
      <c r="W5" s="1175"/>
      <c r="X5" s="1175"/>
      <c r="Y5" s="1175"/>
      <c r="Z5" s="1175"/>
      <c r="AA5" s="1175"/>
      <c r="AB5" s="1175"/>
      <c r="AC5" s="1175"/>
      <c r="AD5" s="1175"/>
      <c r="AE5" s="1175"/>
      <c r="AF5" s="1175"/>
      <c r="AG5" s="1175"/>
      <c r="AH5" s="1175"/>
      <c r="AI5" s="1175"/>
      <c r="AJ5" s="1175"/>
      <c r="AK5" s="1175"/>
      <c r="AL5" s="1175"/>
      <c r="AM5" s="1175"/>
      <c r="AN5" s="1175"/>
      <c r="AO5" s="1175"/>
      <c r="AP5" s="1175"/>
      <c r="AQ5" s="1175"/>
      <c r="AR5" s="1175"/>
      <c r="AS5" s="1175"/>
      <c r="AT5" s="1175"/>
      <c r="AU5" s="1175"/>
      <c r="AV5" s="1175"/>
      <c r="AW5" s="1175"/>
      <c r="AX5" s="1175"/>
      <c r="AY5" s="1175"/>
      <c r="AZ5" s="1175"/>
      <c r="BA5" s="1175"/>
      <c r="BB5" s="1175"/>
      <c r="BC5" s="1175"/>
      <c r="BD5" s="1175"/>
      <c r="BE5" s="1175"/>
      <c r="BF5" s="1175"/>
      <c r="BG5" s="1175"/>
      <c r="BH5" s="1175"/>
      <c r="BI5" s="1175"/>
      <c r="BJ5" s="1175"/>
      <c r="BK5" s="1175"/>
      <c r="BL5" s="1175"/>
      <c r="BM5" s="1175"/>
      <c r="BN5" s="1175"/>
      <c r="BO5" s="1175"/>
      <c r="BP5" s="1175"/>
      <c r="BQ5" s="1175"/>
      <c r="BR5" s="1175"/>
      <c r="BS5" s="1175"/>
      <c r="BT5" s="1175"/>
      <c r="BU5" s="1175"/>
      <c r="BV5" s="1175"/>
      <c r="BW5" s="1175"/>
      <c r="BX5" s="1175"/>
      <c r="BY5" s="1175"/>
      <c r="BZ5" s="1175"/>
      <c r="CA5" s="1175"/>
      <c r="CB5" s="1175"/>
      <c r="CC5" s="1175"/>
      <c r="CD5" s="1175"/>
      <c r="CE5" s="1175"/>
      <c r="CF5" s="1175"/>
      <c r="CG5" s="1175"/>
      <c r="CH5" s="1175"/>
      <c r="CI5" s="1175"/>
      <c r="CJ5" s="1175"/>
      <c r="CK5" s="1175"/>
      <c r="CL5" s="1175"/>
      <c r="CM5" s="1175"/>
      <c r="CN5" s="1175"/>
      <c r="CO5" s="1175"/>
      <c r="CP5" s="1175"/>
      <c r="CQ5" s="1175"/>
      <c r="CR5" s="1175"/>
      <c r="CS5" s="1175"/>
      <c r="CT5" s="1175"/>
      <c r="CU5" s="1175"/>
      <c r="CV5" s="1175"/>
      <c r="CW5" s="1175"/>
      <c r="CX5" s="1175"/>
      <c r="CY5" s="1175"/>
      <c r="CZ5" s="1175"/>
      <c r="DA5" s="1175"/>
      <c r="DB5" s="1175"/>
      <c r="DC5" s="1175"/>
      <c r="DD5" s="1175"/>
      <c r="DE5" s="1175"/>
      <c r="DF5" s="1175"/>
      <c r="DG5" s="1175"/>
      <c r="DH5" s="1175"/>
      <c r="DI5" s="1175"/>
      <c r="DJ5" s="1174"/>
      <c r="DK5" s="1174"/>
      <c r="DL5" s="1174"/>
      <c r="DM5" s="1174"/>
      <c r="DN5" s="1174"/>
      <c r="DO5" s="1174"/>
      <c r="DP5" s="1174"/>
      <c r="DQ5" s="1174"/>
      <c r="DR5" s="1174"/>
      <c r="DS5" s="1174"/>
      <c r="DT5" s="1174"/>
      <c r="DU5" s="1174"/>
      <c r="DY5" s="1174"/>
    </row>
    <row r="6" spans="1:129" x14ac:dyDescent="0.3">
      <c r="A6" s="2535" t="str">
        <f>IF(B8/1000&gt;B7,"Ошибка - ширина секции не может быть более длины забора","")</f>
        <v/>
      </c>
      <c r="B6" s="2535"/>
      <c r="E6" s="1174"/>
      <c r="F6" s="1174"/>
      <c r="G6" s="1174"/>
      <c r="H6" s="1174"/>
      <c r="I6" s="1174"/>
      <c r="J6" s="1175"/>
      <c r="K6" s="1175"/>
      <c r="L6" s="1175"/>
      <c r="M6" s="1175"/>
      <c r="N6" s="1175"/>
      <c r="O6" s="1175"/>
      <c r="P6" s="1175"/>
      <c r="Q6" s="1175"/>
      <c r="R6" s="1175"/>
      <c r="S6" s="1175"/>
      <c r="T6" s="1175"/>
      <c r="U6" s="1175"/>
      <c r="V6" s="1175"/>
      <c r="W6" s="1175"/>
      <c r="X6" s="1175"/>
      <c r="Y6" s="1175"/>
      <c r="Z6" s="1175"/>
      <c r="AA6" s="1175"/>
      <c r="AB6" s="1175"/>
      <c r="AC6" s="1175"/>
      <c r="AD6" s="1175"/>
      <c r="AE6" s="1175"/>
      <c r="AF6" s="1175"/>
      <c r="AG6" s="1175"/>
      <c r="AH6" s="1175"/>
      <c r="AI6" s="1175"/>
      <c r="AJ6" s="1175"/>
      <c r="AK6" s="1175"/>
      <c r="AL6" s="1175"/>
      <c r="AM6" s="1175"/>
      <c r="AN6" s="1175"/>
      <c r="AO6" s="1175"/>
      <c r="AP6" s="1175"/>
      <c r="AQ6" s="1175"/>
      <c r="AR6" s="1175"/>
      <c r="AS6" s="1175"/>
      <c r="AT6" s="1175"/>
      <c r="AU6" s="1175"/>
      <c r="AV6" s="1175"/>
      <c r="AW6" s="1175"/>
      <c r="AX6" s="1175"/>
      <c r="AY6" s="1175"/>
      <c r="AZ6" s="1175"/>
      <c r="BA6" s="1175"/>
      <c r="BB6" s="1175"/>
      <c r="BC6" s="1175"/>
      <c r="BD6" s="1175"/>
      <c r="BE6" s="1175"/>
      <c r="BF6" s="1175"/>
      <c r="BG6" s="1175"/>
      <c r="BH6" s="1175"/>
      <c r="BI6" s="1175"/>
      <c r="BJ6" s="1175"/>
      <c r="BK6" s="1175"/>
      <c r="BL6" s="1175"/>
      <c r="BM6" s="1175"/>
      <c r="BN6" s="1175"/>
      <c r="BO6" s="1175"/>
      <c r="BP6" s="1175"/>
      <c r="BQ6" s="1175"/>
      <c r="BR6" s="1175"/>
      <c r="BS6" s="1175"/>
      <c r="BT6" s="1175"/>
      <c r="BU6" s="1175"/>
      <c r="BV6" s="1175"/>
      <c r="BW6" s="1175"/>
      <c r="BX6" s="1175"/>
      <c r="BY6" s="1175"/>
      <c r="BZ6" s="1175"/>
      <c r="CA6" s="1175"/>
      <c r="CB6" s="1175"/>
      <c r="CC6" s="1175"/>
      <c r="CD6" s="1175"/>
      <c r="CE6" s="1175"/>
      <c r="CF6" s="1175"/>
      <c r="CG6" s="1175"/>
      <c r="CH6" s="1175"/>
      <c r="CI6" s="1175"/>
      <c r="CJ6" s="1175"/>
      <c r="CK6" s="1175"/>
      <c r="CL6" s="1175"/>
      <c r="CM6" s="1175"/>
      <c r="CN6" s="1175"/>
      <c r="CO6" s="1175"/>
      <c r="CP6" s="1175"/>
      <c r="CQ6" s="1175"/>
      <c r="CR6" s="1175"/>
      <c r="CS6" s="1175"/>
      <c r="CT6" s="1175"/>
      <c r="CU6" s="1175"/>
      <c r="CV6" s="1175"/>
      <c r="CW6" s="1175"/>
      <c r="CX6" s="1175"/>
      <c r="CY6" s="1175"/>
      <c r="CZ6" s="1175"/>
      <c r="DA6" s="1175"/>
      <c r="DB6" s="1175"/>
      <c r="DC6" s="1175"/>
      <c r="DD6" s="1175"/>
      <c r="DE6" s="1175"/>
      <c r="DF6" s="1175"/>
      <c r="DG6" s="1175"/>
      <c r="DH6" s="1175"/>
      <c r="DI6" s="1175"/>
      <c r="DJ6" s="1174"/>
      <c r="DK6" s="1174"/>
      <c r="DL6" s="1174"/>
      <c r="DM6" s="1174"/>
      <c r="DN6" s="1174"/>
      <c r="DO6" s="1174"/>
      <c r="DP6" s="1174"/>
      <c r="DQ6" s="1174"/>
      <c r="DR6" s="1174"/>
      <c r="DS6" s="1174"/>
      <c r="DT6" s="1174"/>
      <c r="DU6" s="1174"/>
      <c r="DY6" s="1174"/>
    </row>
    <row r="7" spans="1:129" x14ac:dyDescent="0.3">
      <c r="A7" s="1178" t="s">
        <v>1092</v>
      </c>
      <c r="B7" s="1179">
        <v>10</v>
      </c>
      <c r="C7" s="1180" t="s">
        <v>1093</v>
      </c>
      <c r="E7" s="1174"/>
      <c r="F7" s="1174"/>
      <c r="G7" s="1174"/>
      <c r="H7" s="1174"/>
      <c r="I7" s="1174"/>
      <c r="J7" s="1175"/>
      <c r="K7" s="1175"/>
      <c r="L7" s="1175"/>
      <c r="M7" s="1175"/>
      <c r="N7" s="1175"/>
      <c r="O7" s="1175"/>
      <c r="P7" s="1175"/>
      <c r="Q7" s="1175"/>
      <c r="R7" s="1175"/>
      <c r="S7" s="1175"/>
      <c r="T7" s="1175"/>
      <c r="U7" s="1175"/>
      <c r="V7" s="1175"/>
      <c r="W7" s="1175"/>
      <c r="X7" s="1175"/>
      <c r="Y7" s="1175"/>
      <c r="Z7" s="1175"/>
      <c r="AA7" s="1175"/>
      <c r="AB7" s="1175"/>
      <c r="AC7" s="1175"/>
      <c r="AD7" s="1175"/>
      <c r="AE7" s="1175"/>
      <c r="AF7" s="1175"/>
      <c r="AG7" s="1175"/>
      <c r="AH7" s="1175"/>
      <c r="AI7" s="1175"/>
      <c r="AJ7" s="1175"/>
      <c r="AK7" s="1175"/>
      <c r="AL7" s="1175"/>
      <c r="AM7" s="1175"/>
      <c r="AN7" s="1175"/>
      <c r="AO7" s="1175"/>
      <c r="AP7" s="1175"/>
      <c r="AQ7" s="1175"/>
      <c r="AR7" s="1175"/>
      <c r="AS7" s="1175"/>
      <c r="AT7" s="1175"/>
      <c r="AU7" s="1175"/>
      <c r="AV7" s="1175"/>
      <c r="AW7" s="1175"/>
      <c r="AX7" s="1175"/>
      <c r="AY7" s="1175"/>
      <c r="AZ7" s="1175"/>
      <c r="BA7" s="1175"/>
      <c r="BB7" s="1175"/>
      <c r="BC7" s="1175"/>
      <c r="BD7" s="1175"/>
      <c r="BE7" s="1175"/>
      <c r="BF7" s="1175"/>
      <c r="BG7" s="1175"/>
      <c r="BH7" s="1175"/>
      <c r="BI7" s="1175"/>
      <c r="BJ7" s="1175"/>
      <c r="BK7" s="1175"/>
      <c r="BL7" s="1175"/>
      <c r="BM7" s="1175"/>
      <c r="BN7" s="1175"/>
      <c r="BO7" s="1175"/>
      <c r="BP7" s="1175"/>
      <c r="BQ7" s="1175"/>
      <c r="BR7" s="1175"/>
      <c r="BS7" s="1175"/>
      <c r="BT7" s="1175"/>
      <c r="BU7" s="1175"/>
      <c r="BV7" s="1175"/>
      <c r="BW7" s="1175"/>
      <c r="BX7" s="1175"/>
      <c r="BY7" s="1175"/>
      <c r="BZ7" s="1175"/>
      <c r="CA7" s="1175"/>
      <c r="CB7" s="1175"/>
      <c r="CC7" s="1175"/>
      <c r="CD7" s="1175"/>
      <c r="CE7" s="1175"/>
      <c r="CF7" s="1175"/>
      <c r="CG7" s="1175"/>
      <c r="CH7" s="1175"/>
      <c r="CI7" s="1175"/>
      <c r="CJ7" s="1175"/>
      <c r="CK7" s="1175"/>
      <c r="CL7" s="1175"/>
      <c r="CM7" s="1175"/>
      <c r="CN7" s="1175"/>
      <c r="CO7" s="1175"/>
      <c r="CP7" s="1175"/>
      <c r="CQ7" s="1175"/>
      <c r="CR7" s="1175"/>
      <c r="CS7" s="1175"/>
      <c r="CT7" s="1175"/>
      <c r="CU7" s="1175"/>
      <c r="CV7" s="1175"/>
      <c r="CW7" s="1175"/>
      <c r="CX7" s="1175"/>
      <c r="CY7" s="1175"/>
      <c r="CZ7" s="1175"/>
      <c r="DA7" s="1175"/>
      <c r="DB7" s="1175"/>
      <c r="DC7" s="1175"/>
      <c r="DD7" s="1175"/>
      <c r="DE7" s="1175"/>
      <c r="DF7" s="1175"/>
      <c r="DG7" s="1175"/>
      <c r="DH7" s="1175"/>
      <c r="DI7" s="1175"/>
      <c r="DJ7" s="1174"/>
      <c r="DK7" s="1174"/>
      <c r="DL7" s="1174"/>
      <c r="DM7" s="1174"/>
      <c r="DN7" s="1174"/>
      <c r="DO7" s="1174"/>
      <c r="DP7" s="1174"/>
      <c r="DQ7" s="1174"/>
      <c r="DR7" s="1174"/>
      <c r="DS7" s="1174"/>
      <c r="DT7" s="1174"/>
      <c r="DU7" s="1174"/>
      <c r="DY7" s="1174"/>
    </row>
    <row r="8" spans="1:129" x14ac:dyDescent="0.3">
      <c r="A8" s="1181" t="s">
        <v>1094</v>
      </c>
      <c r="B8" s="1182">
        <v>2500</v>
      </c>
      <c r="C8" s="1180" t="s">
        <v>1093</v>
      </c>
      <c r="E8" s="1174"/>
      <c r="F8" s="1174"/>
      <c r="G8" s="1174"/>
      <c r="H8" s="1174"/>
      <c r="I8" s="1174"/>
      <c r="J8" s="1175"/>
      <c r="K8" s="1175"/>
      <c r="L8" s="1175"/>
      <c r="M8" s="1175"/>
      <c r="N8" s="1175"/>
      <c r="O8" s="1175"/>
      <c r="P8" s="1175"/>
      <c r="Q8" s="1175"/>
      <c r="R8" s="1175"/>
      <c r="S8" s="1175"/>
      <c r="T8" s="1175"/>
      <c r="U8" s="1175"/>
      <c r="V8" s="1175"/>
      <c r="W8" s="1175"/>
      <c r="X8" s="1175"/>
      <c r="Y8" s="1175"/>
      <c r="Z8" s="1175"/>
      <c r="AA8" s="1175"/>
      <c r="AB8" s="1175"/>
      <c r="AC8" s="1175"/>
      <c r="AD8" s="1175"/>
      <c r="AE8" s="1175"/>
      <c r="AF8" s="1175"/>
      <c r="AG8" s="1175"/>
      <c r="AH8" s="1175"/>
      <c r="AI8" s="1175"/>
      <c r="AJ8" s="1175"/>
      <c r="AK8" s="1175"/>
      <c r="AL8" s="1175"/>
      <c r="AM8" s="1175"/>
      <c r="AN8" s="1175"/>
      <c r="AO8" s="1175"/>
      <c r="AP8" s="1175"/>
      <c r="AQ8" s="1175"/>
      <c r="AR8" s="1175"/>
      <c r="AS8" s="1175"/>
      <c r="AT8" s="1175"/>
      <c r="AU8" s="1175"/>
      <c r="AV8" s="1175"/>
      <c r="AW8" s="1175"/>
      <c r="AX8" s="1175"/>
      <c r="AY8" s="1175"/>
      <c r="AZ8" s="1175"/>
      <c r="BA8" s="1175"/>
      <c r="BB8" s="1175"/>
      <c r="BC8" s="1175"/>
      <c r="BD8" s="1175"/>
      <c r="BE8" s="1175"/>
      <c r="BF8" s="1175"/>
      <c r="BG8" s="1175"/>
      <c r="BH8" s="1175"/>
      <c r="BI8" s="1175"/>
      <c r="BJ8" s="1175"/>
      <c r="BK8" s="1175"/>
      <c r="BL8" s="1175"/>
      <c r="BM8" s="1175"/>
      <c r="BN8" s="1175"/>
      <c r="BO8" s="1175"/>
      <c r="BP8" s="1175"/>
      <c r="BQ8" s="1175"/>
      <c r="BR8" s="1175"/>
      <c r="BS8" s="1175"/>
      <c r="BT8" s="1175"/>
      <c r="BU8" s="1175"/>
      <c r="BV8" s="1175"/>
      <c r="BW8" s="1175"/>
      <c r="BX8" s="1175"/>
      <c r="BY8" s="1175"/>
      <c r="BZ8" s="1175"/>
      <c r="CA8" s="1175"/>
      <c r="CB8" s="1175"/>
      <c r="CC8" s="1175"/>
      <c r="CD8" s="1175"/>
      <c r="CE8" s="1175"/>
      <c r="CF8" s="1175"/>
      <c r="CG8" s="1175"/>
      <c r="CH8" s="1175"/>
      <c r="CI8" s="1175"/>
      <c r="CJ8" s="1175"/>
      <c r="CK8" s="1175"/>
      <c r="CL8" s="1175"/>
      <c r="CM8" s="1175"/>
      <c r="CN8" s="1175"/>
      <c r="CO8" s="1175"/>
      <c r="CP8" s="1175"/>
      <c r="CQ8" s="1175"/>
      <c r="CR8" s="1175"/>
      <c r="CS8" s="1175"/>
      <c r="CT8" s="1175"/>
      <c r="CU8" s="1175"/>
      <c r="CV8" s="1175"/>
      <c r="CW8" s="1175"/>
      <c r="CX8" s="1175"/>
      <c r="CY8" s="1175"/>
      <c r="CZ8" s="1175"/>
      <c r="DA8" s="1175"/>
      <c r="DB8" s="1175"/>
      <c r="DC8" s="1175"/>
      <c r="DD8" s="1175"/>
      <c r="DE8" s="1175"/>
      <c r="DF8" s="1175"/>
      <c r="DG8" s="1175"/>
      <c r="DH8" s="1175"/>
      <c r="DI8" s="1175"/>
      <c r="DJ8" s="1174"/>
      <c r="DK8" s="1174"/>
      <c r="DL8" s="1174"/>
      <c r="DM8" s="1174"/>
      <c r="DN8" s="1174"/>
      <c r="DO8" s="1174"/>
      <c r="DP8" s="1174"/>
      <c r="DQ8" s="1174"/>
      <c r="DR8" s="1174"/>
      <c r="DS8" s="1174"/>
      <c r="DT8" s="1174"/>
      <c r="DU8" s="1174"/>
      <c r="DY8" s="1174"/>
    </row>
    <row r="9" spans="1:129" x14ac:dyDescent="0.3">
      <c r="A9" s="1178" t="s">
        <v>1095</v>
      </c>
      <c r="B9" s="1182">
        <v>2000</v>
      </c>
      <c r="C9" s="1180" t="s">
        <v>1093</v>
      </c>
      <c r="E9" s="1174"/>
      <c r="F9" s="1174"/>
      <c r="G9" s="1174"/>
      <c r="H9" s="1174"/>
      <c r="I9" s="1174"/>
      <c r="J9" s="1175"/>
      <c r="K9" s="1175"/>
      <c r="L9" s="1175"/>
      <c r="M9" s="1175"/>
      <c r="N9" s="1175"/>
      <c r="O9" s="1175"/>
      <c r="P9" s="1175"/>
      <c r="Q9" s="1175"/>
      <c r="R9" s="1175"/>
      <c r="S9" s="1175"/>
      <c r="T9" s="1175"/>
      <c r="U9" s="1175"/>
      <c r="V9" s="1175"/>
      <c r="W9" s="1175"/>
      <c r="X9" s="1175"/>
      <c r="Y9" s="1175"/>
      <c r="Z9" s="1175"/>
      <c r="AA9" s="1175"/>
      <c r="AB9" s="1175"/>
      <c r="AC9" s="1175"/>
      <c r="AD9" s="1175"/>
      <c r="AE9" s="1175"/>
      <c r="AF9" s="1175"/>
      <c r="AG9" s="1175"/>
      <c r="AH9" s="1175"/>
      <c r="AI9" s="1175"/>
      <c r="AJ9" s="1175"/>
      <c r="AK9" s="1175"/>
      <c r="AL9" s="1175"/>
      <c r="AM9" s="1175"/>
      <c r="AN9" s="1175"/>
      <c r="AO9" s="1175"/>
      <c r="AP9" s="1175"/>
      <c r="AQ9" s="1175"/>
      <c r="AR9" s="1175"/>
      <c r="AS9" s="1175"/>
      <c r="AT9" s="1175"/>
      <c r="AU9" s="1175"/>
      <c r="AV9" s="1175"/>
      <c r="AW9" s="1175"/>
      <c r="AX9" s="1175"/>
      <c r="AY9" s="1175"/>
      <c r="AZ9" s="1175"/>
      <c r="BA9" s="1175"/>
      <c r="BB9" s="1175"/>
      <c r="BC9" s="1175"/>
      <c r="BD9" s="1175"/>
      <c r="BE9" s="1175"/>
      <c r="BF9" s="1175"/>
      <c r="BG9" s="1175"/>
      <c r="BH9" s="1175"/>
      <c r="BI9" s="1175"/>
      <c r="BJ9" s="1175"/>
      <c r="BK9" s="1175"/>
      <c r="BL9" s="1175"/>
      <c r="BM9" s="1175"/>
      <c r="BN9" s="1175"/>
      <c r="BO9" s="1175"/>
      <c r="BP9" s="1175"/>
      <c r="BQ9" s="1175"/>
      <c r="BR9" s="1175"/>
      <c r="BS9" s="1175"/>
      <c r="BT9" s="1175"/>
      <c r="BU9" s="1175"/>
      <c r="BV9" s="1175"/>
      <c r="BW9" s="1175"/>
      <c r="BX9" s="1175"/>
      <c r="BY9" s="1175"/>
      <c r="BZ9" s="1175"/>
      <c r="CA9" s="1175"/>
      <c r="CB9" s="1175"/>
      <c r="CC9" s="1175"/>
      <c r="CD9" s="1175"/>
      <c r="CE9" s="1175"/>
      <c r="CF9" s="1175"/>
      <c r="CG9" s="1175"/>
      <c r="CH9" s="1175"/>
      <c r="CI9" s="1175"/>
      <c r="CJ9" s="1175"/>
      <c r="CK9" s="1175"/>
      <c r="CL9" s="1175"/>
      <c r="CM9" s="1175"/>
      <c r="CN9" s="1175"/>
      <c r="CO9" s="1175"/>
      <c r="CP9" s="1175"/>
      <c r="CQ9" s="1175"/>
      <c r="CR9" s="1175"/>
      <c r="CS9" s="1175"/>
      <c r="CT9" s="1175"/>
      <c r="CU9" s="1175"/>
      <c r="CV9" s="1175"/>
      <c r="CW9" s="1175"/>
      <c r="CX9" s="1175"/>
      <c r="CY9" s="1175"/>
      <c r="CZ9" s="1175"/>
      <c r="DA9" s="1175"/>
      <c r="DB9" s="1175"/>
      <c r="DC9" s="1175"/>
      <c r="DD9" s="1175"/>
      <c r="DE9" s="1175"/>
      <c r="DF9" s="1175"/>
      <c r="DG9" s="1175"/>
      <c r="DH9" s="1175"/>
      <c r="DI9" s="1175"/>
      <c r="DJ9" s="1174"/>
      <c r="DK9" s="1174"/>
      <c r="DL9" s="1174"/>
      <c r="DM9" s="1174"/>
      <c r="DN9" s="1174"/>
      <c r="DO9" s="1174"/>
      <c r="DP9" s="1174"/>
      <c r="DQ9" s="1174"/>
      <c r="DR9" s="1174"/>
      <c r="DS9" s="1174"/>
      <c r="DT9" s="1174"/>
      <c r="DU9" s="1174"/>
    </row>
    <row r="10" spans="1:129" x14ac:dyDescent="0.3">
      <c r="A10" s="2536" t="s">
        <v>1096</v>
      </c>
      <c r="B10" s="2536"/>
      <c r="C10" s="1180" t="s">
        <v>950</v>
      </c>
      <c r="E10" s="1174"/>
      <c r="F10" s="1174"/>
      <c r="G10" s="1174"/>
      <c r="H10" s="1174"/>
      <c r="I10" s="1174"/>
      <c r="J10" s="1175"/>
      <c r="K10" s="1175"/>
      <c r="L10" s="1175"/>
      <c r="M10" s="1175"/>
      <c r="N10" s="1175"/>
      <c r="O10" s="1175"/>
      <c r="P10" s="1175"/>
      <c r="Q10" s="1175"/>
      <c r="R10" s="1175"/>
      <c r="S10" s="1175"/>
      <c r="T10" s="1175"/>
      <c r="U10" s="1175"/>
      <c r="V10" s="1175"/>
      <c r="W10" s="1175"/>
      <c r="X10" s="1175"/>
      <c r="Y10" s="1175"/>
      <c r="Z10" s="1175"/>
      <c r="AA10" s="1175"/>
      <c r="AB10" s="1175"/>
      <c r="AC10" s="1175"/>
      <c r="AD10" s="1175"/>
      <c r="AE10" s="1175"/>
      <c r="AF10" s="1175"/>
      <c r="AG10" s="1175"/>
      <c r="AH10" s="1175"/>
      <c r="AI10" s="1175"/>
      <c r="AJ10" s="1175"/>
      <c r="AK10" s="1175"/>
      <c r="AL10" s="1175"/>
      <c r="AM10" s="1175"/>
      <c r="AN10" s="1175"/>
      <c r="AO10" s="1175"/>
      <c r="AP10" s="1175"/>
      <c r="AQ10" s="1175"/>
      <c r="AR10" s="1175"/>
      <c r="AS10" s="1175"/>
      <c r="AT10" s="1175"/>
      <c r="AU10" s="1175"/>
      <c r="AV10" s="1175"/>
      <c r="AW10" s="1175"/>
      <c r="AX10" s="1175"/>
      <c r="AY10" s="1175"/>
      <c r="AZ10" s="1175"/>
      <c r="BA10" s="1175"/>
      <c r="BB10" s="1175"/>
      <c r="BC10" s="1175"/>
      <c r="BD10" s="1175"/>
      <c r="BE10" s="1175"/>
      <c r="BF10" s="1175"/>
      <c r="BG10" s="1175"/>
      <c r="BH10" s="1175"/>
      <c r="BI10" s="1175"/>
      <c r="BJ10" s="1175"/>
      <c r="BK10" s="1175"/>
      <c r="BL10" s="1175"/>
      <c r="BM10" s="1175"/>
      <c r="BN10" s="1175"/>
      <c r="BO10" s="1175"/>
      <c r="BP10" s="1175"/>
      <c r="BQ10" s="1175"/>
      <c r="BR10" s="1175"/>
      <c r="BS10" s="1175"/>
      <c r="BT10" s="1175"/>
      <c r="BU10" s="1175"/>
      <c r="BV10" s="1175"/>
      <c r="BW10" s="1175"/>
      <c r="BX10" s="1175"/>
      <c r="BY10" s="1175"/>
      <c r="BZ10" s="1175"/>
      <c r="CA10" s="1175"/>
      <c r="CB10" s="1175"/>
      <c r="CC10" s="1175"/>
      <c r="CD10" s="1175"/>
      <c r="CE10" s="1175"/>
      <c r="CF10" s="1175"/>
      <c r="CG10" s="1175"/>
      <c r="CH10" s="1175"/>
      <c r="CI10" s="1175"/>
      <c r="CJ10" s="1175"/>
      <c r="CK10" s="1175"/>
      <c r="CL10" s="1175"/>
      <c r="CM10" s="1175"/>
      <c r="CN10" s="1175"/>
      <c r="CO10" s="1175"/>
      <c r="CP10" s="1175"/>
      <c r="CQ10" s="1175"/>
      <c r="CR10" s="1175"/>
      <c r="CS10" s="1175"/>
      <c r="CT10" s="1175"/>
      <c r="CU10" s="1175"/>
      <c r="CV10" s="1175"/>
      <c r="CW10" s="1175"/>
      <c r="CX10" s="1175"/>
      <c r="CY10" s="1175"/>
      <c r="CZ10" s="1175"/>
      <c r="DA10" s="1175"/>
      <c r="DB10" s="1175"/>
      <c r="DC10" s="1175"/>
      <c r="DD10" s="1175"/>
      <c r="DE10" s="1175"/>
      <c r="DF10" s="1175"/>
      <c r="DG10" s="1175"/>
      <c r="DH10" s="1175"/>
      <c r="DI10" s="1175"/>
      <c r="DJ10" s="1174"/>
      <c r="DK10" s="1174"/>
      <c r="DL10" s="1174"/>
      <c r="DM10" s="1174"/>
      <c r="DN10" s="1174"/>
      <c r="DO10" s="1174"/>
      <c r="DP10" s="1174"/>
      <c r="DQ10" s="1174"/>
      <c r="DR10" s="1174"/>
      <c r="DS10" s="1174"/>
      <c r="DT10" s="1174"/>
      <c r="DU10" s="1174"/>
    </row>
    <row r="11" spans="1:129" x14ac:dyDescent="0.3">
      <c r="A11" s="1181" t="s">
        <v>1097</v>
      </c>
      <c r="B11" s="1183">
        <v>30</v>
      </c>
      <c r="C11" s="1180" t="s">
        <v>1093</v>
      </c>
      <c r="E11" s="1174"/>
      <c r="F11" s="1174"/>
      <c r="G11" s="1174"/>
      <c r="H11" s="1174"/>
      <c r="I11" s="1174"/>
      <c r="J11" s="1175"/>
      <c r="K11" s="1175"/>
      <c r="L11" s="1175"/>
      <c r="M11" s="1175"/>
      <c r="N11" s="1175"/>
      <c r="O11" s="1175"/>
      <c r="P11" s="1175"/>
      <c r="Q11" s="1175"/>
      <c r="R11" s="1175"/>
      <c r="S11" s="1175"/>
      <c r="T11" s="1175"/>
      <c r="U11" s="1175"/>
      <c r="V11" s="1175"/>
      <c r="W11" s="1175"/>
      <c r="X11" s="1175"/>
      <c r="Y11" s="1175"/>
      <c r="Z11" s="1175"/>
      <c r="AA11" s="1175"/>
      <c r="AB11" s="1175"/>
      <c r="AC11" s="1175"/>
      <c r="AD11" s="1175"/>
      <c r="AE11" s="1175"/>
      <c r="AF11" s="1175"/>
      <c r="AG11" s="1175"/>
      <c r="AH11" s="1175"/>
      <c r="AI11" s="1175"/>
      <c r="AJ11" s="1175"/>
      <c r="AK11" s="1175"/>
      <c r="AL11" s="1175"/>
      <c r="AM11" s="1175"/>
      <c r="AN11" s="1175"/>
      <c r="AO11" s="1175"/>
      <c r="AP11" s="1175"/>
      <c r="AQ11" s="1175"/>
      <c r="AR11" s="1175"/>
      <c r="AS11" s="1175"/>
      <c r="AT11" s="1175"/>
      <c r="AU11" s="1175"/>
      <c r="AV11" s="1175"/>
      <c r="AW11" s="1175"/>
      <c r="AX11" s="1175"/>
      <c r="AY11" s="1175"/>
      <c r="AZ11" s="1175"/>
      <c r="BA11" s="1175"/>
      <c r="BB11" s="1175"/>
      <c r="BC11" s="1175"/>
      <c r="BD11" s="1175"/>
      <c r="BE11" s="1175"/>
      <c r="BF11" s="1175"/>
      <c r="BG11" s="1175"/>
      <c r="BH11" s="1175"/>
      <c r="BI11" s="1175"/>
      <c r="BJ11" s="1175"/>
      <c r="BK11" s="1175"/>
      <c r="BL11" s="1175"/>
      <c r="BM11" s="1175"/>
      <c r="BN11" s="1175"/>
      <c r="BO11" s="1175"/>
      <c r="BP11" s="1175"/>
      <c r="BQ11" s="1175"/>
      <c r="BR11" s="1175"/>
      <c r="BS11" s="1175"/>
      <c r="BT11" s="1175"/>
      <c r="BU11" s="1175"/>
      <c r="BV11" s="1175"/>
      <c r="BW11" s="1175"/>
      <c r="BX11" s="1175"/>
      <c r="BY11" s="1175"/>
      <c r="BZ11" s="1175"/>
      <c r="CA11" s="1175"/>
      <c r="CB11" s="1175"/>
      <c r="CC11" s="1175"/>
      <c r="CD11" s="1175"/>
      <c r="CE11" s="1175"/>
      <c r="CF11" s="1175"/>
      <c r="CG11" s="1175"/>
      <c r="CH11" s="1175"/>
      <c r="CI11" s="1175"/>
      <c r="CJ11" s="1175"/>
      <c r="CK11" s="1175"/>
      <c r="CL11" s="1175"/>
      <c r="CM11" s="1175"/>
      <c r="CN11" s="1175"/>
      <c r="CO11" s="1175"/>
      <c r="CP11" s="1175"/>
      <c r="CQ11" s="1175"/>
      <c r="CR11" s="1175"/>
      <c r="CS11" s="1175"/>
      <c r="CT11" s="1175"/>
      <c r="CU11" s="1175"/>
      <c r="CV11" s="1175"/>
      <c r="CW11" s="1175"/>
      <c r="CX11" s="1175"/>
      <c r="CY11" s="1175"/>
      <c r="CZ11" s="1175"/>
      <c r="DA11" s="1175"/>
      <c r="DB11" s="1175"/>
      <c r="DC11" s="1175"/>
      <c r="DD11" s="1175"/>
      <c r="DE11" s="1175"/>
      <c r="DF11" s="1175"/>
      <c r="DG11" s="1175"/>
      <c r="DH11" s="1175"/>
      <c r="DI11" s="1175"/>
      <c r="DJ11" s="1174"/>
      <c r="DK11" s="1174"/>
      <c r="DL11" s="1174"/>
      <c r="DM11" s="1174"/>
      <c r="DN11" s="1174"/>
      <c r="DO11" s="1174"/>
      <c r="DP11" s="1174"/>
      <c r="DQ11" s="1174"/>
      <c r="DR11" s="1174"/>
      <c r="DS11" s="1174"/>
      <c r="DT11" s="1174"/>
      <c r="DU11" s="1174"/>
    </row>
    <row r="12" spans="1:129" x14ac:dyDescent="0.3">
      <c r="A12" s="1181" t="s">
        <v>1098</v>
      </c>
      <c r="B12" s="1184" t="s">
        <v>1099</v>
      </c>
      <c r="C12" s="1180" t="s">
        <v>950</v>
      </c>
      <c r="E12" s="1174"/>
      <c r="F12" s="1174"/>
      <c r="G12" s="1174"/>
      <c r="H12" s="1174"/>
      <c r="I12" s="1174"/>
      <c r="J12" s="1175"/>
      <c r="K12" s="1175"/>
      <c r="L12" s="1175"/>
      <c r="M12" s="1175"/>
      <c r="N12" s="1175"/>
      <c r="O12" s="1175"/>
      <c r="P12" s="1175"/>
      <c r="Q12" s="1175"/>
      <c r="R12" s="1175"/>
      <c r="S12" s="1175"/>
      <c r="T12" s="1175"/>
      <c r="U12" s="1175"/>
      <c r="V12" s="1175"/>
      <c r="W12" s="1175"/>
      <c r="X12" s="1175"/>
      <c r="Y12" s="1175"/>
      <c r="Z12" s="1175"/>
      <c r="AA12" s="1175"/>
      <c r="AB12" s="1175"/>
      <c r="AC12" s="1175"/>
      <c r="AD12" s="1175"/>
      <c r="AE12" s="1175"/>
      <c r="AF12" s="1175"/>
      <c r="AG12" s="1175"/>
      <c r="AH12" s="1175"/>
      <c r="AI12" s="1175"/>
      <c r="AJ12" s="1175"/>
      <c r="AK12" s="1175"/>
      <c r="AL12" s="1175"/>
      <c r="AM12" s="1175"/>
      <c r="AN12" s="1175"/>
      <c r="AO12" s="1175"/>
      <c r="AP12" s="1175"/>
      <c r="AQ12" s="1175"/>
      <c r="AR12" s="1175"/>
      <c r="AS12" s="1175"/>
      <c r="AT12" s="1175"/>
      <c r="AU12" s="1175"/>
      <c r="AV12" s="1175"/>
      <c r="AW12" s="1175"/>
      <c r="AX12" s="1175"/>
      <c r="AY12" s="1175"/>
      <c r="AZ12" s="1175"/>
      <c r="BA12" s="1175"/>
      <c r="BB12" s="1175"/>
      <c r="BC12" s="1175"/>
      <c r="BD12" s="1175"/>
      <c r="BE12" s="1175"/>
      <c r="BF12" s="1175"/>
      <c r="BG12" s="1175"/>
      <c r="BH12" s="1175"/>
      <c r="BI12" s="1175"/>
      <c r="BJ12" s="1175"/>
      <c r="BK12" s="1175"/>
      <c r="BL12" s="1175"/>
      <c r="BM12" s="1175"/>
      <c r="BN12" s="1175"/>
      <c r="BO12" s="1175"/>
      <c r="BP12" s="1175"/>
      <c r="BQ12" s="1175"/>
      <c r="BR12" s="1175"/>
      <c r="BS12" s="1175"/>
      <c r="BT12" s="1175"/>
      <c r="BU12" s="1175"/>
      <c r="BV12" s="1175"/>
      <c r="BW12" s="1175"/>
      <c r="BX12" s="1175"/>
      <c r="BY12" s="1175"/>
      <c r="BZ12" s="1175"/>
      <c r="CA12" s="1175"/>
      <c r="CB12" s="1175"/>
      <c r="CC12" s="1175"/>
      <c r="CD12" s="1175"/>
      <c r="CE12" s="1175"/>
      <c r="CF12" s="1175"/>
      <c r="CG12" s="1175"/>
      <c r="CH12" s="1175"/>
      <c r="CI12" s="1175"/>
      <c r="CJ12" s="1175"/>
      <c r="CK12" s="1175"/>
      <c r="CL12" s="1175"/>
      <c r="CM12" s="1175"/>
      <c r="CN12" s="1175"/>
      <c r="CO12" s="1175"/>
      <c r="CP12" s="1175"/>
      <c r="CQ12" s="1175"/>
      <c r="CR12" s="1175"/>
      <c r="CS12" s="1175"/>
      <c r="CT12" s="1175"/>
      <c r="CU12" s="1175"/>
      <c r="CV12" s="1175"/>
      <c r="CW12" s="1175"/>
      <c r="CX12" s="1175"/>
      <c r="CY12" s="1175"/>
      <c r="CZ12" s="1175"/>
      <c r="DA12" s="1175"/>
      <c r="DB12" s="1175"/>
      <c r="DC12" s="1175"/>
      <c r="DD12" s="1175"/>
      <c r="DE12" s="1175"/>
      <c r="DF12" s="1175"/>
      <c r="DG12" s="1175"/>
      <c r="DH12" s="1175"/>
      <c r="DI12" s="1175"/>
      <c r="DJ12" s="1174"/>
      <c r="DK12" s="1174"/>
      <c r="DL12" s="1174"/>
      <c r="DM12" s="1174"/>
      <c r="DN12" s="1174"/>
      <c r="DO12" s="1174"/>
      <c r="DP12" s="1174"/>
      <c r="DQ12" s="1174"/>
      <c r="DR12" s="1174"/>
      <c r="DS12" s="1174"/>
      <c r="DT12" s="1174"/>
      <c r="DU12" s="1174"/>
    </row>
    <row r="13" spans="1:129" x14ac:dyDescent="0.3">
      <c r="A13" s="1181" t="s">
        <v>1100</v>
      </c>
      <c r="B13" s="1183">
        <v>0</v>
      </c>
      <c r="C13" s="1180" t="s">
        <v>1093</v>
      </c>
      <c r="D13" s="1174"/>
      <c r="E13" s="1174"/>
      <c r="F13" s="1174"/>
      <c r="G13" s="1174"/>
      <c r="H13" s="1174"/>
      <c r="I13" s="1174"/>
      <c r="J13" s="1175"/>
      <c r="K13" s="1175"/>
      <c r="L13" s="1175"/>
      <c r="M13" s="1175"/>
      <c r="N13" s="1175"/>
      <c r="O13" s="1175"/>
      <c r="P13" s="1175"/>
      <c r="Q13" s="1175"/>
      <c r="R13" s="1175"/>
      <c r="S13" s="1175"/>
      <c r="T13" s="1175"/>
      <c r="U13" s="1175"/>
      <c r="V13" s="1175"/>
      <c r="W13" s="1175"/>
      <c r="X13" s="1175"/>
      <c r="Y13" s="1175"/>
      <c r="Z13" s="1175"/>
      <c r="AA13" s="1175"/>
      <c r="AB13" s="1175"/>
      <c r="AC13" s="1175"/>
      <c r="AD13" s="1175"/>
      <c r="AE13" s="1175"/>
      <c r="AF13" s="1175"/>
      <c r="AG13" s="1175"/>
      <c r="AH13" s="1175"/>
      <c r="AI13" s="1175"/>
      <c r="AJ13" s="1175"/>
      <c r="AK13" s="1175"/>
      <c r="AL13" s="1175"/>
      <c r="AM13" s="1175"/>
      <c r="AN13" s="1175"/>
      <c r="AO13" s="1175"/>
      <c r="AP13" s="1175"/>
      <c r="AQ13" s="1175"/>
      <c r="AR13" s="1175"/>
      <c r="AS13" s="1175"/>
      <c r="AT13" s="1175"/>
      <c r="AU13" s="1175"/>
      <c r="AV13" s="1175"/>
      <c r="AW13" s="1175"/>
      <c r="AX13" s="1175"/>
      <c r="AY13" s="1175"/>
      <c r="AZ13" s="1175"/>
      <c r="BA13" s="1175"/>
      <c r="BB13" s="1175"/>
      <c r="BC13" s="1175"/>
      <c r="BD13" s="1175"/>
      <c r="BE13" s="1175"/>
      <c r="BF13" s="1175"/>
      <c r="BG13" s="1175"/>
      <c r="BH13" s="1175"/>
      <c r="BI13" s="1175"/>
      <c r="BJ13" s="1175"/>
      <c r="BK13" s="1175"/>
      <c r="BL13" s="1175"/>
      <c r="BM13" s="1175"/>
      <c r="BN13" s="1175"/>
      <c r="BO13" s="1175"/>
      <c r="BP13" s="1175"/>
      <c r="BQ13" s="1175"/>
      <c r="BR13" s="1175"/>
      <c r="BS13" s="1175"/>
      <c r="BT13" s="1175"/>
      <c r="BU13" s="1175"/>
      <c r="BV13" s="1175"/>
      <c r="BW13" s="1175"/>
      <c r="BX13" s="1175"/>
      <c r="BY13" s="1175"/>
      <c r="BZ13" s="1175"/>
      <c r="CA13" s="1175"/>
      <c r="CB13" s="1175"/>
      <c r="CC13" s="1175"/>
      <c r="CD13" s="1175"/>
      <c r="CE13" s="1175"/>
      <c r="CF13" s="1175"/>
      <c r="CG13" s="1175"/>
      <c r="CH13" s="1175"/>
      <c r="CI13" s="1175"/>
      <c r="CJ13" s="1175"/>
      <c r="CK13" s="1175"/>
      <c r="CL13" s="1175"/>
      <c r="CM13" s="1175"/>
      <c r="CN13" s="1175"/>
      <c r="CO13" s="1175"/>
      <c r="CP13" s="1175"/>
      <c r="CQ13" s="1175"/>
      <c r="CR13" s="1175"/>
      <c r="CS13" s="1175"/>
      <c r="CT13" s="1175"/>
      <c r="CU13" s="1175"/>
      <c r="CV13" s="1175"/>
      <c r="CW13" s="1175"/>
      <c r="CX13" s="1175"/>
      <c r="CY13" s="1175"/>
      <c r="CZ13" s="1175"/>
      <c r="DA13" s="1175"/>
      <c r="DB13" s="1175"/>
      <c r="DC13" s="1175"/>
      <c r="DD13" s="1175"/>
      <c r="DE13" s="1175"/>
      <c r="DF13" s="1175"/>
      <c r="DG13" s="1175"/>
      <c r="DH13" s="1175"/>
      <c r="DI13" s="1175"/>
      <c r="DJ13" s="1174"/>
      <c r="DK13" s="1174"/>
      <c r="DL13" s="1174"/>
      <c r="DM13" s="1174"/>
      <c r="DN13" s="1174"/>
      <c r="DO13" s="1174"/>
      <c r="DP13" s="1174"/>
      <c r="DQ13" s="1174"/>
      <c r="DR13" s="1174"/>
      <c r="DS13" s="1174"/>
    </row>
    <row r="14" spans="1:129" x14ac:dyDescent="0.3">
      <c r="A14" s="2537" t="s">
        <v>1101</v>
      </c>
      <c r="B14" s="2537"/>
      <c r="C14" s="1174"/>
      <c r="D14" s="1174"/>
      <c r="E14" s="1174"/>
      <c r="F14" s="1174"/>
      <c r="G14" s="1174"/>
      <c r="H14" s="1174"/>
      <c r="I14" s="1174"/>
      <c r="J14" s="1175"/>
      <c r="K14" s="1175"/>
      <c r="L14" s="1175"/>
      <c r="M14" s="1175"/>
      <c r="N14" s="1175"/>
      <c r="O14" s="1175"/>
      <c r="P14" s="1175"/>
      <c r="Q14" s="1175"/>
      <c r="R14" s="1175"/>
      <c r="S14" s="1175"/>
      <c r="T14" s="1175"/>
      <c r="U14" s="1175"/>
      <c r="V14" s="1175"/>
      <c r="W14" s="1175"/>
      <c r="X14" s="1175"/>
      <c r="Y14" s="1175"/>
      <c r="Z14" s="1175"/>
      <c r="AA14" s="1175"/>
      <c r="AB14" s="1175"/>
      <c r="AC14" s="1175"/>
      <c r="AD14" s="1175"/>
      <c r="AE14" s="1175"/>
      <c r="AF14" s="1175"/>
      <c r="AG14" s="1175"/>
      <c r="AH14" s="1175"/>
      <c r="AI14" s="1175"/>
      <c r="AJ14" s="1175"/>
      <c r="AK14" s="1175"/>
      <c r="AL14" s="1175"/>
      <c r="AM14" s="1175"/>
      <c r="AN14" s="1175"/>
      <c r="AO14" s="1175"/>
      <c r="AP14" s="1175"/>
      <c r="AQ14" s="1175"/>
      <c r="AR14" s="1175"/>
      <c r="AS14" s="1175"/>
      <c r="AT14" s="1175"/>
      <c r="AU14" s="1175"/>
      <c r="AV14" s="1175"/>
      <c r="AW14" s="1175"/>
      <c r="AX14" s="1175"/>
      <c r="AY14" s="1175"/>
      <c r="AZ14" s="1175"/>
      <c r="BA14" s="1175"/>
      <c r="BB14" s="1175"/>
      <c r="BC14" s="1175"/>
      <c r="BD14" s="1175"/>
      <c r="BE14" s="1175"/>
      <c r="BF14" s="1175"/>
      <c r="BG14" s="1175"/>
      <c r="BH14" s="1175"/>
      <c r="BI14" s="1175"/>
      <c r="BJ14" s="1175"/>
      <c r="BK14" s="1175"/>
      <c r="BL14" s="1175"/>
      <c r="BM14" s="1175"/>
      <c r="BN14" s="1175"/>
      <c r="BO14" s="1175"/>
      <c r="BP14" s="1175"/>
      <c r="BQ14" s="1175"/>
      <c r="BR14" s="1175"/>
      <c r="BS14" s="1175"/>
      <c r="BT14" s="1175"/>
      <c r="BU14" s="1175"/>
      <c r="BV14" s="1175"/>
      <c r="BW14" s="1175"/>
      <c r="BX14" s="1175"/>
      <c r="BY14" s="1175"/>
      <c r="BZ14" s="1175"/>
      <c r="CA14" s="1175"/>
      <c r="CB14" s="1175"/>
      <c r="CC14" s="1175"/>
      <c r="CD14" s="1175"/>
      <c r="CE14" s="1175"/>
      <c r="CF14" s="1175"/>
      <c r="CG14" s="1175"/>
      <c r="CH14" s="1175"/>
      <c r="CI14" s="1175"/>
      <c r="CJ14" s="1175"/>
      <c r="CK14" s="1175"/>
      <c r="CL14" s="1175"/>
      <c r="CM14" s="1175"/>
      <c r="CN14" s="1175"/>
      <c r="CO14" s="1175"/>
      <c r="CP14" s="1175"/>
      <c r="CQ14" s="1175"/>
      <c r="CR14" s="1175"/>
      <c r="CS14" s="1175"/>
      <c r="CT14" s="1175"/>
      <c r="CU14" s="1175"/>
      <c r="CV14" s="1175"/>
      <c r="CW14" s="1175"/>
      <c r="CX14" s="1175"/>
      <c r="CY14" s="1175"/>
      <c r="CZ14" s="1175"/>
      <c r="DA14" s="1175"/>
      <c r="DB14" s="1175"/>
      <c r="DC14" s="1175"/>
      <c r="DD14" s="1175"/>
      <c r="DE14" s="1175"/>
      <c r="DF14" s="1175"/>
      <c r="DG14" s="1175"/>
      <c r="DH14" s="1175"/>
      <c r="DI14" s="1175"/>
      <c r="DJ14" s="1174"/>
      <c r="DK14" s="1174"/>
      <c r="DL14" s="1174"/>
      <c r="DM14" s="1174"/>
      <c r="DN14" s="1174"/>
      <c r="DO14" s="1174"/>
      <c r="DP14" s="1174"/>
      <c r="DQ14" s="1174"/>
      <c r="DR14" s="1174"/>
      <c r="DS14" s="1174"/>
    </row>
    <row r="15" spans="1:129" x14ac:dyDescent="0.3">
      <c r="A15" s="1185" t="s">
        <v>1102</v>
      </c>
      <c r="B15" s="1186">
        <v>0</v>
      </c>
      <c r="D15" s="1174"/>
      <c r="E15" s="1174"/>
      <c r="F15" s="1174"/>
      <c r="G15" s="1174"/>
      <c r="H15" s="1174"/>
      <c r="I15" s="1174"/>
      <c r="J15" s="1175"/>
      <c r="K15" s="1175"/>
      <c r="L15" s="1175"/>
      <c r="M15" s="1175"/>
      <c r="N15" s="1175"/>
      <c r="O15" s="1175"/>
      <c r="P15" s="1175"/>
      <c r="Q15" s="1175"/>
      <c r="R15" s="1175"/>
      <c r="S15" s="1175"/>
      <c r="T15" s="1175"/>
      <c r="U15" s="1175"/>
      <c r="V15" s="1175"/>
      <c r="W15" s="1175"/>
      <c r="X15" s="1175"/>
      <c r="Y15" s="1175"/>
      <c r="Z15" s="1175"/>
      <c r="AA15" s="1175"/>
      <c r="AB15" s="1175"/>
      <c r="AC15" s="1175"/>
      <c r="AD15" s="1175"/>
      <c r="AE15" s="1175"/>
      <c r="AF15" s="1175"/>
      <c r="AG15" s="1175"/>
      <c r="AH15" s="1175"/>
      <c r="AI15" s="1175"/>
      <c r="AJ15" s="1175"/>
      <c r="AK15" s="1175"/>
      <c r="AL15" s="1175"/>
      <c r="AM15" s="1175"/>
      <c r="AN15" s="1175"/>
      <c r="AO15" s="1175"/>
      <c r="AP15" s="1175"/>
      <c r="AQ15" s="1175"/>
      <c r="AR15" s="1175"/>
      <c r="AS15" s="1175"/>
      <c r="AT15" s="1175"/>
      <c r="AU15" s="1175"/>
      <c r="AV15" s="1175"/>
      <c r="AW15" s="1175"/>
      <c r="AX15" s="1175"/>
      <c r="AY15" s="1175"/>
      <c r="AZ15" s="1175"/>
      <c r="BA15" s="1175"/>
      <c r="BB15" s="1175"/>
      <c r="BC15" s="1175"/>
      <c r="BD15" s="1175"/>
      <c r="BE15" s="1175"/>
      <c r="BF15" s="1175"/>
      <c r="BG15" s="1175"/>
      <c r="BH15" s="1175"/>
      <c r="BI15" s="1175"/>
      <c r="BJ15" s="1175"/>
      <c r="BK15" s="1175"/>
      <c r="BL15" s="1175"/>
      <c r="BM15" s="1175"/>
      <c r="BN15" s="1175"/>
      <c r="BO15" s="1175"/>
      <c r="BP15" s="1175"/>
      <c r="BQ15" s="1175"/>
      <c r="BR15" s="1175"/>
      <c r="BS15" s="1175"/>
      <c r="BT15" s="1175"/>
      <c r="BU15" s="1175"/>
      <c r="BV15" s="1175"/>
      <c r="BW15" s="1175"/>
      <c r="BX15" s="1175"/>
      <c r="BY15" s="1175"/>
      <c r="BZ15" s="1175"/>
      <c r="CA15" s="1175"/>
      <c r="CB15" s="1175"/>
      <c r="CC15" s="1175"/>
      <c r="CD15" s="1175"/>
      <c r="CE15" s="1175"/>
      <c r="CF15" s="1175"/>
      <c r="CG15" s="1175"/>
      <c r="CH15" s="1175"/>
      <c r="CI15" s="1175"/>
      <c r="CJ15" s="1175"/>
      <c r="CK15" s="1175"/>
      <c r="CL15" s="1175"/>
      <c r="CM15" s="1175"/>
      <c r="CN15" s="1175"/>
      <c r="CO15" s="1175"/>
      <c r="CP15" s="1175"/>
      <c r="CQ15" s="1175"/>
      <c r="CR15" s="1175"/>
      <c r="CS15" s="1175"/>
      <c r="CT15" s="1175"/>
      <c r="CU15" s="1175"/>
      <c r="CV15" s="1175"/>
      <c r="CW15" s="1175"/>
      <c r="CX15" s="1175"/>
      <c r="CY15" s="1175"/>
      <c r="CZ15" s="1175"/>
      <c r="DA15" s="1175"/>
      <c r="DB15" s="1175"/>
      <c r="DC15" s="1175"/>
      <c r="DD15" s="1175"/>
      <c r="DE15" s="1175"/>
      <c r="DF15" s="1175"/>
      <c r="DG15" s="1175"/>
      <c r="DH15" s="1175"/>
      <c r="DI15" s="1175"/>
      <c r="DJ15" s="1174"/>
      <c r="DK15" s="1174"/>
      <c r="DL15" s="1174"/>
      <c r="DM15" s="1174"/>
      <c r="DN15" s="1174"/>
      <c r="DO15" s="1174"/>
      <c r="DP15" s="1174"/>
      <c r="DQ15" s="1174"/>
      <c r="DR15" s="1174"/>
      <c r="DS15" s="1174"/>
    </row>
    <row r="16" spans="1:129" ht="15" customHeight="1" x14ac:dyDescent="0.3">
      <c r="A16" s="1185" t="s">
        <v>1103</v>
      </c>
      <c r="B16" s="1186">
        <v>0</v>
      </c>
      <c r="D16" s="1174"/>
      <c r="E16" s="1174"/>
      <c r="F16" s="1174"/>
      <c r="G16" s="1174"/>
      <c r="H16" s="1174"/>
      <c r="I16" s="1174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5"/>
      <c r="AC16" s="1175"/>
      <c r="AD16" s="1175"/>
      <c r="AE16" s="1175"/>
      <c r="AF16" s="1175"/>
      <c r="AG16" s="1175"/>
      <c r="AH16" s="1175"/>
      <c r="AI16" s="1175"/>
      <c r="AJ16" s="1175"/>
      <c r="AK16" s="1175"/>
      <c r="AL16" s="1175"/>
      <c r="AM16" s="1175"/>
      <c r="AN16" s="1175"/>
      <c r="AO16" s="1175"/>
      <c r="AP16" s="1175"/>
      <c r="AQ16" s="1175"/>
      <c r="AR16" s="1175"/>
      <c r="AS16" s="1175"/>
      <c r="AT16" s="1175"/>
      <c r="AU16" s="1175"/>
      <c r="AV16" s="1175"/>
      <c r="AW16" s="1175"/>
      <c r="AX16" s="1175"/>
      <c r="AY16" s="1175"/>
      <c r="AZ16" s="1175"/>
      <c r="BA16" s="1175"/>
      <c r="BB16" s="1175"/>
      <c r="BC16" s="1175"/>
      <c r="BD16" s="1175"/>
      <c r="BE16" s="1175"/>
      <c r="BF16" s="1175"/>
      <c r="BG16" s="1175"/>
      <c r="BH16" s="1175"/>
      <c r="BI16" s="1175"/>
      <c r="BJ16" s="1175"/>
      <c r="BK16" s="1175"/>
      <c r="BL16" s="1175"/>
      <c r="BM16" s="1175"/>
      <c r="BN16" s="1175"/>
      <c r="BO16" s="1175"/>
      <c r="BP16" s="1175"/>
      <c r="BQ16" s="1175"/>
      <c r="BR16" s="1175"/>
      <c r="BS16" s="1175"/>
      <c r="BT16" s="1175"/>
      <c r="BU16" s="1175"/>
      <c r="BV16" s="1175"/>
      <c r="BW16" s="1175"/>
      <c r="BX16" s="1175"/>
      <c r="BY16" s="1175"/>
      <c r="BZ16" s="1175"/>
      <c r="CA16" s="1175"/>
      <c r="CB16" s="1175"/>
      <c r="CC16" s="1175"/>
      <c r="CD16" s="1175"/>
      <c r="CE16" s="1175"/>
      <c r="CF16" s="1175"/>
      <c r="CG16" s="1175"/>
      <c r="CH16" s="1175"/>
      <c r="CI16" s="1175"/>
      <c r="CJ16" s="1175"/>
      <c r="CK16" s="1175"/>
      <c r="CL16" s="1175"/>
      <c r="CM16" s="1175"/>
      <c r="CN16" s="1175"/>
      <c r="CO16" s="1175"/>
      <c r="CP16" s="1175"/>
      <c r="CQ16" s="1175"/>
      <c r="CR16" s="1175"/>
      <c r="CS16" s="1175"/>
      <c r="CT16" s="1175"/>
      <c r="CU16" s="1175"/>
      <c r="CV16" s="1175"/>
      <c r="CW16" s="1175"/>
      <c r="CX16" s="1175"/>
      <c r="CY16" s="1175"/>
      <c r="CZ16" s="1175"/>
      <c r="DA16" s="1175"/>
      <c r="DB16" s="1175"/>
      <c r="DC16" s="1175"/>
      <c r="DD16" s="1175"/>
      <c r="DE16" s="1175"/>
      <c r="DF16" s="1175"/>
      <c r="DG16" s="1175"/>
      <c r="DH16" s="1175"/>
      <c r="DI16" s="1175"/>
      <c r="DJ16" s="1174"/>
      <c r="DK16" s="1174"/>
      <c r="DL16" s="1174"/>
      <c r="DM16" s="1174"/>
      <c r="DN16" s="1174"/>
      <c r="DO16" s="1174"/>
      <c r="DP16" s="1174"/>
      <c r="DQ16" s="1174"/>
      <c r="DR16" s="1174"/>
      <c r="DS16" s="1174"/>
    </row>
    <row r="17" spans="1:123" x14ac:dyDescent="0.3">
      <c r="D17" s="1174"/>
      <c r="E17" s="1174"/>
      <c r="F17" s="1174"/>
      <c r="G17" s="1174"/>
      <c r="H17" s="1174"/>
      <c r="I17" s="1174"/>
      <c r="J17" s="1175"/>
      <c r="K17" s="1175"/>
      <c r="L17" s="1175"/>
      <c r="M17" s="1175"/>
      <c r="N17" s="1175"/>
      <c r="O17" s="1175"/>
      <c r="P17" s="1175"/>
      <c r="Q17" s="1175"/>
      <c r="R17" s="1175"/>
      <c r="S17" s="1175"/>
      <c r="T17" s="1175"/>
      <c r="U17" s="1175"/>
      <c r="V17" s="1175"/>
      <c r="W17" s="1175"/>
      <c r="X17" s="1175"/>
      <c r="Y17" s="1175"/>
      <c r="Z17" s="1175"/>
      <c r="AA17" s="1175"/>
      <c r="AB17" s="1175"/>
      <c r="AC17" s="1175"/>
      <c r="AD17" s="1175"/>
      <c r="AE17" s="1175"/>
      <c r="AF17" s="1175"/>
      <c r="AG17" s="1175"/>
      <c r="AH17" s="1175"/>
      <c r="AI17" s="1175"/>
      <c r="AJ17" s="1175"/>
      <c r="AK17" s="1175"/>
      <c r="AL17" s="1175"/>
      <c r="AM17" s="1175"/>
      <c r="AN17" s="1175"/>
      <c r="AO17" s="1175"/>
      <c r="AP17" s="1175"/>
      <c r="AQ17" s="1175"/>
      <c r="AR17" s="1175"/>
      <c r="AS17" s="1175"/>
      <c r="AT17" s="1175"/>
      <c r="AU17" s="1175"/>
      <c r="AV17" s="1175"/>
      <c r="AW17" s="1175"/>
      <c r="AX17" s="1175"/>
      <c r="AY17" s="1175"/>
      <c r="AZ17" s="1175"/>
      <c r="BA17" s="1175"/>
      <c r="BB17" s="1175"/>
      <c r="BC17" s="1175"/>
      <c r="BD17" s="1175"/>
      <c r="BE17" s="1175"/>
      <c r="BF17" s="1175"/>
      <c r="BG17" s="1175"/>
      <c r="BH17" s="1175"/>
      <c r="BI17" s="1175"/>
      <c r="BJ17" s="1175"/>
      <c r="BK17" s="1175"/>
      <c r="BL17" s="1175"/>
      <c r="BM17" s="1175"/>
      <c r="BN17" s="1175"/>
      <c r="BO17" s="1175"/>
      <c r="BP17" s="1175"/>
      <c r="BQ17" s="1175"/>
      <c r="BR17" s="1175"/>
      <c r="BS17" s="1175"/>
      <c r="BT17" s="1175"/>
      <c r="BU17" s="1175"/>
      <c r="BV17" s="1175"/>
      <c r="BW17" s="1175"/>
      <c r="BX17" s="1175"/>
      <c r="BY17" s="1175"/>
      <c r="BZ17" s="1175"/>
      <c r="CA17" s="1175"/>
      <c r="CB17" s="1175"/>
      <c r="CC17" s="1175"/>
      <c r="CD17" s="1175"/>
      <c r="CE17" s="1175"/>
      <c r="CF17" s="1175"/>
      <c r="CG17" s="1175"/>
      <c r="CH17" s="1175"/>
      <c r="CI17" s="1175"/>
      <c r="CJ17" s="1175"/>
      <c r="CK17" s="1175"/>
      <c r="CL17" s="1175"/>
      <c r="CM17" s="1175"/>
      <c r="CN17" s="1175"/>
      <c r="CO17" s="1175"/>
      <c r="CP17" s="1175"/>
      <c r="CQ17" s="1175"/>
      <c r="CR17" s="1175"/>
      <c r="CS17" s="1175"/>
      <c r="CT17" s="1175"/>
      <c r="CU17" s="1175"/>
      <c r="CV17" s="1175"/>
      <c r="CW17" s="1175"/>
      <c r="CX17" s="1175"/>
      <c r="CY17" s="1175"/>
      <c r="CZ17" s="1175"/>
      <c r="DA17" s="1175"/>
      <c r="DB17" s="1175"/>
      <c r="DC17" s="1175"/>
      <c r="DD17" s="1175"/>
      <c r="DE17" s="1175"/>
      <c r="DF17" s="1175"/>
      <c r="DG17" s="1175"/>
      <c r="DH17" s="1175"/>
      <c r="DI17" s="1175"/>
      <c r="DJ17" s="1174"/>
      <c r="DK17" s="1174"/>
      <c r="DL17" s="1174"/>
      <c r="DM17" s="1174"/>
      <c r="DN17" s="1174"/>
      <c r="DO17" s="1174"/>
      <c r="DP17" s="1174"/>
      <c r="DQ17" s="1174"/>
      <c r="DR17" s="1174"/>
      <c r="DS17" s="1174"/>
    </row>
    <row r="18" spans="1:123" x14ac:dyDescent="0.3">
      <c r="A18" s="1174"/>
      <c r="B18" s="1174"/>
      <c r="C18" s="1174"/>
      <c r="D18" s="1174"/>
      <c r="E18" s="1174"/>
      <c r="F18" s="1174"/>
      <c r="G18" s="1174"/>
      <c r="H18" s="1174"/>
      <c r="I18" s="1174"/>
      <c r="J18" s="1175"/>
      <c r="K18" s="1175"/>
      <c r="L18" s="1175"/>
      <c r="M18" s="1175"/>
      <c r="N18" s="1175"/>
      <c r="O18" s="1175"/>
      <c r="P18" s="1175"/>
      <c r="Q18" s="1175"/>
      <c r="R18" s="1175"/>
      <c r="S18" s="1175"/>
      <c r="T18" s="1175"/>
      <c r="U18" s="1175"/>
      <c r="V18" s="1175"/>
      <c r="W18" s="1175"/>
      <c r="X18" s="1175"/>
      <c r="Y18" s="1175"/>
      <c r="Z18" s="1175"/>
      <c r="AA18" s="1175"/>
      <c r="AB18" s="1175"/>
      <c r="AC18" s="1175"/>
      <c r="AD18" s="1175"/>
      <c r="AE18" s="1175"/>
      <c r="AF18" s="1175"/>
      <c r="AG18" s="1175"/>
      <c r="AH18" s="1175"/>
      <c r="AI18" s="1175"/>
      <c r="AJ18" s="1175"/>
      <c r="AK18" s="1175"/>
      <c r="AL18" s="1175"/>
      <c r="AM18" s="1175"/>
      <c r="AN18" s="1175"/>
      <c r="AO18" s="1175"/>
      <c r="AP18" s="1175"/>
      <c r="AQ18" s="1175"/>
      <c r="AR18" s="1175"/>
      <c r="AS18" s="1175"/>
      <c r="AT18" s="1175"/>
      <c r="AU18" s="1175"/>
      <c r="AV18" s="1175"/>
      <c r="AW18" s="1175"/>
      <c r="AX18" s="1175"/>
      <c r="AY18" s="1175"/>
      <c r="AZ18" s="1175"/>
      <c r="BA18" s="1175"/>
      <c r="BB18" s="1175"/>
      <c r="BC18" s="1175"/>
      <c r="BD18" s="1175"/>
      <c r="BE18" s="1175"/>
      <c r="BF18" s="1175"/>
      <c r="BG18" s="1175"/>
      <c r="BH18" s="1175"/>
      <c r="BI18" s="1175"/>
      <c r="BJ18" s="1175"/>
      <c r="BK18" s="1175"/>
      <c r="BL18" s="1175"/>
      <c r="BM18" s="1175"/>
      <c r="BN18" s="1175"/>
      <c r="BO18" s="1175"/>
      <c r="BP18" s="1175"/>
      <c r="BQ18" s="1175"/>
      <c r="BR18" s="1175"/>
      <c r="BS18" s="1175"/>
      <c r="BT18" s="1175"/>
      <c r="BU18" s="1175"/>
      <c r="BV18" s="1175"/>
      <c r="BW18" s="1175"/>
      <c r="BX18" s="1175"/>
      <c r="BY18" s="1175"/>
      <c r="BZ18" s="1175"/>
      <c r="CA18" s="1175"/>
      <c r="CB18" s="1175"/>
      <c r="CC18" s="1175"/>
      <c r="CD18" s="1175"/>
      <c r="CE18" s="1175"/>
      <c r="CF18" s="1175"/>
      <c r="CG18" s="1175"/>
      <c r="CH18" s="1175"/>
      <c r="CI18" s="1175"/>
      <c r="CJ18" s="1175"/>
      <c r="CK18" s="1175"/>
      <c r="CL18" s="1175"/>
      <c r="CM18" s="1175"/>
      <c r="CN18" s="1175"/>
      <c r="CO18" s="1175"/>
      <c r="CP18" s="1175"/>
      <c r="CQ18" s="1175"/>
      <c r="CR18" s="1175"/>
      <c r="CS18" s="1175"/>
      <c r="CT18" s="1175"/>
      <c r="CU18" s="1175"/>
      <c r="CV18" s="1175"/>
      <c r="CW18" s="1175"/>
      <c r="CX18" s="1175"/>
      <c r="CY18" s="1175"/>
      <c r="CZ18" s="1175"/>
      <c r="DA18" s="1175"/>
      <c r="DB18" s="1175"/>
      <c r="DC18" s="1175"/>
      <c r="DD18" s="1175"/>
      <c r="DE18" s="1175"/>
      <c r="DF18" s="1175"/>
      <c r="DG18" s="1175"/>
      <c r="DH18" s="1175"/>
      <c r="DI18" s="1175"/>
      <c r="DJ18" s="1174"/>
      <c r="DK18" s="1174"/>
      <c r="DL18" s="1174"/>
      <c r="DM18" s="1174"/>
      <c r="DN18" s="1174"/>
      <c r="DO18" s="1174"/>
      <c r="DP18" s="1174"/>
      <c r="DQ18" s="1174"/>
      <c r="DR18" s="1174"/>
      <c r="DS18" s="1174"/>
    </row>
    <row r="19" spans="1:123" x14ac:dyDescent="0.3">
      <c r="A19" s="1174"/>
      <c r="B19" s="1174"/>
      <c r="C19" s="1174"/>
      <c r="D19" s="1174"/>
      <c r="E19" s="1174"/>
      <c r="F19" s="1174"/>
      <c r="G19" s="1174"/>
      <c r="H19" s="1174"/>
      <c r="I19" s="1174"/>
      <c r="J19" s="1175"/>
      <c r="K19" s="1175"/>
      <c r="L19" s="1175"/>
      <c r="M19" s="1175"/>
      <c r="N19" s="1175"/>
      <c r="O19" s="1175"/>
      <c r="P19" s="1175"/>
      <c r="Q19" s="1175"/>
      <c r="R19" s="1175"/>
      <c r="S19" s="1175"/>
      <c r="T19" s="1175"/>
      <c r="U19" s="1175"/>
      <c r="V19" s="1175"/>
      <c r="W19" s="1175"/>
      <c r="X19" s="1175"/>
      <c r="Y19" s="1175"/>
      <c r="Z19" s="1175"/>
      <c r="AA19" s="1175"/>
      <c r="AB19" s="1175"/>
      <c r="AC19" s="1175"/>
      <c r="AD19" s="1175"/>
      <c r="AE19" s="1175"/>
      <c r="AF19" s="1175"/>
      <c r="AG19" s="1175"/>
      <c r="AH19" s="1175"/>
      <c r="AI19" s="1175"/>
      <c r="AJ19" s="1175"/>
      <c r="AK19" s="1175"/>
      <c r="AL19" s="1175"/>
      <c r="AM19" s="1175"/>
      <c r="AN19" s="1175"/>
      <c r="AO19" s="1175"/>
      <c r="AP19" s="1175"/>
      <c r="AQ19" s="1175"/>
      <c r="AR19" s="1175"/>
      <c r="AS19" s="1175"/>
      <c r="AT19" s="1175"/>
      <c r="AU19" s="1175"/>
      <c r="AV19" s="1175"/>
      <c r="AW19" s="1175"/>
      <c r="AX19" s="1175"/>
      <c r="AY19" s="1175"/>
      <c r="AZ19" s="1175"/>
      <c r="BA19" s="1175"/>
      <c r="BB19" s="1175"/>
      <c r="BC19" s="1175"/>
      <c r="BD19" s="1175"/>
      <c r="BE19" s="1175"/>
      <c r="BF19" s="1175"/>
      <c r="BG19" s="1175"/>
      <c r="BH19" s="1175"/>
      <c r="BI19" s="1175"/>
      <c r="BJ19" s="1175"/>
      <c r="BK19" s="1175"/>
      <c r="BL19" s="1175"/>
      <c r="BM19" s="1175"/>
      <c r="BN19" s="1175"/>
      <c r="BO19" s="1175"/>
      <c r="BP19" s="1175"/>
      <c r="BQ19" s="1175"/>
      <c r="BR19" s="1175"/>
      <c r="BS19" s="1175"/>
      <c r="BT19" s="1175"/>
      <c r="BU19" s="1175"/>
      <c r="BV19" s="1175"/>
      <c r="BW19" s="1175"/>
      <c r="BX19" s="1175"/>
      <c r="BY19" s="1175"/>
      <c r="BZ19" s="1175"/>
      <c r="CA19" s="1175"/>
      <c r="CB19" s="1175"/>
      <c r="CC19" s="1175"/>
      <c r="CD19" s="1175"/>
      <c r="CE19" s="1175"/>
      <c r="CF19" s="1175"/>
      <c r="CG19" s="1175"/>
      <c r="CH19" s="1175"/>
      <c r="CI19" s="1175"/>
      <c r="CJ19" s="1175"/>
      <c r="CK19" s="1175"/>
      <c r="CL19" s="1175"/>
      <c r="CM19" s="1175"/>
      <c r="CN19" s="1175"/>
      <c r="CO19" s="1175"/>
      <c r="CP19" s="1175"/>
      <c r="CQ19" s="1175"/>
      <c r="CR19" s="1175"/>
      <c r="CS19" s="1175"/>
      <c r="CT19" s="1175"/>
      <c r="CU19" s="1175"/>
      <c r="CV19" s="1175"/>
      <c r="CW19" s="1175"/>
      <c r="CX19" s="1175"/>
      <c r="CY19" s="1175"/>
      <c r="CZ19" s="1175"/>
      <c r="DA19" s="1175"/>
      <c r="DB19" s="1175"/>
      <c r="DC19" s="1175"/>
      <c r="DD19" s="1175"/>
      <c r="DE19" s="1175"/>
      <c r="DF19" s="1175"/>
      <c r="DG19" s="1175"/>
      <c r="DH19" s="1175"/>
      <c r="DI19" s="1175"/>
      <c r="DJ19" s="1174"/>
      <c r="DK19" s="1174"/>
      <c r="DL19" s="1174"/>
      <c r="DM19" s="1174"/>
      <c r="DN19" s="1174"/>
      <c r="DO19" s="1174"/>
      <c r="DP19" s="1174"/>
      <c r="DQ19" s="1174"/>
      <c r="DR19" s="1174"/>
      <c r="DS19" s="1174"/>
    </row>
    <row r="20" spans="1:123" ht="15" customHeight="1" x14ac:dyDescent="0.3">
      <c r="A20" s="1174"/>
      <c r="B20" s="1174"/>
      <c r="C20" s="1174"/>
      <c r="D20" s="1174"/>
      <c r="E20" s="1174"/>
      <c r="F20" s="1174"/>
      <c r="G20" s="1174"/>
      <c r="H20" s="1174"/>
      <c r="I20" s="1174"/>
      <c r="J20" s="1175"/>
      <c r="K20" s="1175"/>
      <c r="L20" s="1175"/>
      <c r="M20" s="1175"/>
      <c r="N20" s="1175"/>
      <c r="O20" s="1175"/>
      <c r="P20" s="1175"/>
      <c r="Q20" s="1175"/>
      <c r="R20" s="1175"/>
      <c r="S20" s="1175"/>
      <c r="T20" s="1175"/>
      <c r="U20" s="1175"/>
      <c r="V20" s="1175"/>
      <c r="W20" s="1175"/>
      <c r="X20" s="1175"/>
      <c r="Y20" s="1175"/>
      <c r="Z20" s="1175"/>
      <c r="AA20" s="1175"/>
      <c r="AB20" s="1175"/>
      <c r="AC20" s="1175"/>
      <c r="AD20" s="1175"/>
      <c r="AE20" s="1175"/>
      <c r="AF20" s="1175"/>
      <c r="AG20" s="1175"/>
      <c r="AH20" s="1175"/>
      <c r="AI20" s="1175"/>
      <c r="AJ20" s="1175"/>
      <c r="AK20" s="1175"/>
      <c r="AL20" s="1175"/>
      <c r="AM20" s="1175"/>
      <c r="AN20" s="1175"/>
      <c r="AO20" s="1175"/>
      <c r="AP20" s="1175"/>
      <c r="AQ20" s="1175"/>
      <c r="AR20" s="1175"/>
      <c r="AS20" s="1175"/>
      <c r="AT20" s="1175"/>
      <c r="AU20" s="1175"/>
      <c r="AV20" s="1175"/>
      <c r="AW20" s="1175"/>
      <c r="AX20" s="1175"/>
      <c r="AY20" s="1175"/>
      <c r="AZ20" s="1175"/>
      <c r="BA20" s="1175"/>
      <c r="BB20" s="1175"/>
      <c r="BC20" s="1175"/>
      <c r="BD20" s="1175"/>
      <c r="BE20" s="1175"/>
      <c r="BF20" s="1175"/>
      <c r="BG20" s="1175"/>
      <c r="BH20" s="1175"/>
      <c r="BI20" s="1175"/>
      <c r="BJ20" s="1175"/>
      <c r="BK20" s="1175"/>
      <c r="BL20" s="1175"/>
      <c r="BM20" s="1175"/>
      <c r="BN20" s="1175"/>
      <c r="BO20" s="1175"/>
      <c r="BP20" s="1175"/>
      <c r="BQ20" s="1175"/>
      <c r="BR20" s="1175"/>
      <c r="BS20" s="1175"/>
      <c r="BT20" s="1175"/>
      <c r="BU20" s="1175"/>
      <c r="BV20" s="1175"/>
      <c r="BW20" s="1175"/>
      <c r="BX20" s="1175"/>
      <c r="BY20" s="1175"/>
      <c r="BZ20" s="1175"/>
      <c r="CA20" s="1175"/>
      <c r="CB20" s="1175"/>
      <c r="CC20" s="1175"/>
      <c r="CD20" s="1175"/>
      <c r="CE20" s="1175"/>
      <c r="CF20" s="1175"/>
      <c r="CG20" s="1175"/>
      <c r="CH20" s="1175"/>
      <c r="CI20" s="1175"/>
      <c r="CJ20" s="1175"/>
      <c r="CK20" s="1175"/>
      <c r="CL20" s="1175"/>
      <c r="CM20" s="1175"/>
      <c r="CN20" s="1175"/>
      <c r="CO20" s="1175"/>
      <c r="CP20" s="1175"/>
      <c r="CQ20" s="1175"/>
      <c r="CR20" s="1175"/>
      <c r="CS20" s="1175"/>
      <c r="CT20" s="1175"/>
      <c r="CU20" s="1175"/>
      <c r="CV20" s="1175"/>
      <c r="CW20" s="1175"/>
      <c r="CX20" s="1175"/>
      <c r="CY20" s="1175"/>
      <c r="CZ20" s="1175"/>
      <c r="DA20" s="1175"/>
      <c r="DB20" s="1175"/>
      <c r="DC20" s="1175"/>
      <c r="DD20" s="1175"/>
      <c r="DE20" s="1175"/>
      <c r="DF20" s="1175"/>
      <c r="DG20" s="1175"/>
      <c r="DH20" s="1175"/>
      <c r="DI20" s="1175"/>
      <c r="DJ20" s="1174"/>
      <c r="DK20" s="1174"/>
      <c r="DL20" s="1174"/>
      <c r="DM20" s="1174"/>
      <c r="DN20" s="1174"/>
      <c r="DO20" s="1174"/>
      <c r="DP20" s="1174"/>
      <c r="DQ20" s="1174"/>
      <c r="DR20" s="1174"/>
      <c r="DS20" s="1174"/>
    </row>
    <row r="21" spans="1:123" ht="15" customHeight="1" x14ac:dyDescent="0.3">
      <c r="A21" s="1174"/>
      <c r="B21" s="1174"/>
      <c r="C21" s="1174"/>
      <c r="D21" s="1174"/>
      <c r="E21" s="1174"/>
      <c r="F21" s="1174"/>
      <c r="G21" s="1174"/>
      <c r="H21" s="1174"/>
      <c r="I21" s="1174"/>
      <c r="J21" s="1175"/>
      <c r="K21" s="1175"/>
      <c r="L21" s="1175"/>
      <c r="M21" s="1175"/>
      <c r="N21" s="1175"/>
      <c r="O21" s="1175"/>
      <c r="P21" s="1175"/>
      <c r="Q21" s="1175"/>
      <c r="R21" s="1175"/>
      <c r="S21" s="1175"/>
      <c r="T21" s="1175"/>
      <c r="U21" s="1175"/>
      <c r="V21" s="1175"/>
      <c r="W21" s="1175"/>
      <c r="X21" s="1175"/>
      <c r="Y21" s="1175"/>
      <c r="Z21" s="1175"/>
      <c r="AA21" s="1175"/>
      <c r="AB21" s="1175"/>
      <c r="AC21" s="1175"/>
      <c r="AD21" s="1175"/>
      <c r="AE21" s="1175"/>
      <c r="AF21" s="1175"/>
      <c r="AG21" s="1175"/>
      <c r="AH21" s="1175"/>
      <c r="AI21" s="1175"/>
      <c r="AJ21" s="1175"/>
      <c r="AK21" s="1175"/>
      <c r="AL21" s="1175"/>
      <c r="AM21" s="1175"/>
      <c r="AN21" s="1175"/>
      <c r="AO21" s="1175"/>
      <c r="AP21" s="1175"/>
      <c r="AQ21" s="1175"/>
      <c r="AR21" s="1175"/>
      <c r="AS21" s="1175"/>
      <c r="AT21" s="1175"/>
      <c r="AU21" s="1175"/>
      <c r="AV21" s="1175"/>
      <c r="AW21" s="1175"/>
      <c r="AX21" s="1175"/>
      <c r="AY21" s="1175"/>
      <c r="AZ21" s="1175"/>
      <c r="BA21" s="1175"/>
      <c r="BB21" s="1175"/>
      <c r="BC21" s="1175"/>
      <c r="BD21" s="1175"/>
      <c r="BE21" s="1175"/>
      <c r="BF21" s="1175"/>
      <c r="BG21" s="1175"/>
      <c r="BH21" s="1175"/>
      <c r="BI21" s="1175"/>
      <c r="BJ21" s="1175"/>
      <c r="BK21" s="1175"/>
      <c r="BL21" s="1175"/>
      <c r="BM21" s="1175"/>
      <c r="BN21" s="1175"/>
      <c r="BO21" s="1175"/>
      <c r="BP21" s="1175"/>
      <c r="BQ21" s="1175"/>
      <c r="BR21" s="1175"/>
      <c r="BS21" s="1175"/>
      <c r="BT21" s="1175"/>
      <c r="BU21" s="1175"/>
      <c r="BV21" s="1175"/>
      <c r="BW21" s="1175"/>
      <c r="BX21" s="1175"/>
      <c r="BY21" s="1175"/>
      <c r="BZ21" s="1175"/>
      <c r="CA21" s="1175"/>
      <c r="CB21" s="1175"/>
      <c r="CC21" s="1175"/>
      <c r="CD21" s="1175"/>
      <c r="CE21" s="1175"/>
      <c r="CF21" s="1175"/>
      <c r="CG21" s="1175"/>
      <c r="CH21" s="1175"/>
      <c r="CI21" s="1175"/>
      <c r="CJ21" s="1175"/>
      <c r="CK21" s="1175"/>
      <c r="CL21" s="1175"/>
      <c r="CM21" s="1175"/>
      <c r="CN21" s="1175"/>
      <c r="CO21" s="1175"/>
      <c r="CP21" s="1175"/>
      <c r="CQ21" s="1175"/>
      <c r="CR21" s="1175"/>
      <c r="CS21" s="1175"/>
      <c r="CT21" s="1175"/>
      <c r="CU21" s="1175"/>
      <c r="CV21" s="1175"/>
      <c r="CW21" s="1175"/>
      <c r="CX21" s="1175"/>
      <c r="CY21" s="1175"/>
      <c r="CZ21" s="1175"/>
      <c r="DA21" s="1175"/>
      <c r="DB21" s="1175"/>
      <c r="DC21" s="1175"/>
      <c r="DD21" s="1175"/>
      <c r="DE21" s="1175"/>
      <c r="DF21" s="1175"/>
      <c r="DG21" s="1175"/>
      <c r="DH21" s="1175"/>
      <c r="DI21" s="1175"/>
      <c r="DJ21" s="1174"/>
      <c r="DK21" s="1174"/>
      <c r="DL21" s="1174"/>
      <c r="DM21" s="1174"/>
      <c r="DN21" s="1174"/>
      <c r="DO21" s="1174"/>
      <c r="DP21" s="1174"/>
      <c r="DQ21" s="1174"/>
      <c r="DR21" s="1174"/>
      <c r="DS21" s="1174"/>
    </row>
    <row r="22" spans="1:123" ht="18" customHeight="1" x14ac:dyDescent="0.3">
      <c r="D22" s="1174"/>
      <c r="E22" s="1174"/>
      <c r="F22" s="1174"/>
      <c r="G22" s="1174"/>
      <c r="H22" s="1174"/>
      <c r="I22" s="1174"/>
      <c r="J22" s="1175"/>
      <c r="K22" s="1175"/>
      <c r="L22" s="1175"/>
      <c r="M22" s="1175"/>
      <c r="N22" s="1175"/>
      <c r="O22" s="1175"/>
      <c r="P22" s="1175"/>
      <c r="Q22" s="1175"/>
      <c r="R22" s="1175"/>
      <c r="S22" s="1175"/>
      <c r="T22" s="1175"/>
      <c r="U22" s="1175"/>
      <c r="V22" s="1175"/>
      <c r="W22" s="1175"/>
      <c r="X22" s="1175"/>
      <c r="Y22" s="1175"/>
      <c r="Z22" s="1175"/>
      <c r="AA22" s="1175"/>
      <c r="AB22" s="1175"/>
      <c r="AC22" s="1175"/>
      <c r="AD22" s="1175"/>
      <c r="AE22" s="1175"/>
      <c r="AF22" s="1175"/>
      <c r="AG22" s="1175"/>
      <c r="AH22" s="1175"/>
      <c r="AI22" s="1175"/>
      <c r="AJ22" s="1175"/>
      <c r="AK22" s="1175"/>
      <c r="AL22" s="1175"/>
      <c r="AM22" s="1175"/>
      <c r="AN22" s="1175"/>
      <c r="AO22" s="1175"/>
      <c r="AP22" s="1175"/>
      <c r="AQ22" s="1175"/>
      <c r="AR22" s="1175"/>
      <c r="AS22" s="1175"/>
      <c r="AT22" s="1175"/>
      <c r="AU22" s="1175"/>
      <c r="AV22" s="1175"/>
      <c r="AW22" s="1175"/>
      <c r="AX22" s="1175"/>
      <c r="AY22" s="1175"/>
      <c r="AZ22" s="1175"/>
      <c r="BA22" s="1175"/>
      <c r="BB22" s="1175"/>
      <c r="BC22" s="1175"/>
      <c r="BD22" s="1175"/>
      <c r="BE22" s="1175"/>
      <c r="BF22" s="1175"/>
      <c r="BG22" s="1175"/>
      <c r="BH22" s="1175"/>
      <c r="BI22" s="1175"/>
      <c r="BJ22" s="1175"/>
      <c r="BK22" s="1175"/>
      <c r="BL22" s="1175"/>
      <c r="BM22" s="1175"/>
      <c r="BN22" s="1175"/>
      <c r="BO22" s="1175"/>
      <c r="BP22" s="1175"/>
      <c r="BQ22" s="1175"/>
      <c r="BR22" s="1175"/>
      <c r="BS22" s="1175"/>
      <c r="BT22" s="1175"/>
      <c r="BU22" s="1175"/>
      <c r="BV22" s="1175"/>
      <c r="BW22" s="1175"/>
      <c r="BX22" s="1175"/>
      <c r="BY22" s="1175"/>
      <c r="BZ22" s="1175"/>
      <c r="CA22" s="1175"/>
      <c r="CB22" s="1175"/>
      <c r="CC22" s="1175"/>
      <c r="CD22" s="1175"/>
      <c r="CE22" s="1175"/>
      <c r="CF22" s="1175"/>
      <c r="CG22" s="1175"/>
      <c r="CH22" s="1175"/>
      <c r="CI22" s="1175"/>
      <c r="CJ22" s="1175"/>
      <c r="CK22" s="1175"/>
      <c r="CL22" s="1175"/>
      <c r="CM22" s="1175"/>
      <c r="CN22" s="1175"/>
      <c r="CO22" s="1175"/>
      <c r="CP22" s="1175"/>
      <c r="CQ22" s="1175"/>
      <c r="CR22" s="1175"/>
      <c r="CS22" s="1175"/>
      <c r="CT22" s="1175"/>
      <c r="CU22" s="1175"/>
      <c r="CV22" s="1175"/>
      <c r="CW22" s="1175"/>
      <c r="CX22" s="1175"/>
      <c r="CY22" s="1175"/>
      <c r="CZ22" s="1175"/>
      <c r="DA22" s="1175"/>
      <c r="DB22" s="1175"/>
      <c r="DC22" s="1175"/>
      <c r="DD22" s="1175"/>
      <c r="DE22" s="1175"/>
      <c r="DF22" s="1175"/>
      <c r="DG22" s="1175"/>
      <c r="DH22" s="1175"/>
      <c r="DI22" s="1175"/>
      <c r="DJ22" s="1174"/>
      <c r="DK22" s="1174"/>
      <c r="DL22" s="1174"/>
      <c r="DM22" s="1174"/>
      <c r="DN22" s="1174"/>
      <c r="DO22" s="1174"/>
      <c r="DP22" s="1174"/>
      <c r="DQ22" s="1174"/>
      <c r="DR22" s="1174"/>
      <c r="DS22" s="1174"/>
    </row>
    <row r="23" spans="1:123" ht="18" customHeight="1" x14ac:dyDescent="0.3">
      <c r="D23" s="1174"/>
      <c r="E23" s="1174"/>
      <c r="F23" s="1174"/>
      <c r="G23" s="1174"/>
      <c r="H23" s="1174"/>
      <c r="I23" s="1174"/>
      <c r="J23" s="1175"/>
      <c r="K23" s="1175"/>
      <c r="L23" s="1175"/>
      <c r="M23" s="1175"/>
      <c r="N23" s="1175"/>
      <c r="O23" s="1175"/>
      <c r="P23" s="1175"/>
      <c r="Q23" s="1175"/>
      <c r="R23" s="1175"/>
      <c r="S23" s="1175"/>
      <c r="T23" s="1175"/>
      <c r="U23" s="1175"/>
      <c r="V23" s="1175"/>
      <c r="W23" s="1175"/>
      <c r="X23" s="1175"/>
      <c r="Y23" s="1175"/>
      <c r="Z23" s="1175"/>
      <c r="AA23" s="1175"/>
      <c r="AB23" s="1175"/>
      <c r="AC23" s="1175"/>
      <c r="AD23" s="1175"/>
      <c r="AE23" s="1175"/>
      <c r="AF23" s="1175"/>
      <c r="AG23" s="1175"/>
      <c r="AH23" s="1175"/>
      <c r="AI23" s="1175"/>
      <c r="AJ23" s="1175"/>
      <c r="AK23" s="1175"/>
      <c r="AL23" s="1175"/>
      <c r="AM23" s="1175"/>
      <c r="AN23" s="1175"/>
      <c r="AO23" s="1175"/>
      <c r="AP23" s="1175"/>
      <c r="AQ23" s="1175"/>
      <c r="AR23" s="1175"/>
      <c r="AS23" s="1175"/>
      <c r="AT23" s="1175"/>
      <c r="AU23" s="1175"/>
      <c r="AV23" s="1175"/>
      <c r="AW23" s="1175"/>
      <c r="AX23" s="1175"/>
      <c r="AY23" s="1175"/>
      <c r="AZ23" s="1175"/>
      <c r="BA23" s="1175"/>
      <c r="BB23" s="1175"/>
      <c r="BC23" s="1175"/>
      <c r="BD23" s="1175"/>
      <c r="BE23" s="1175"/>
      <c r="BF23" s="1175"/>
      <c r="BG23" s="1175"/>
      <c r="BH23" s="1175"/>
      <c r="BI23" s="1175"/>
      <c r="BJ23" s="1175"/>
      <c r="BK23" s="1175"/>
      <c r="BL23" s="1175"/>
      <c r="BM23" s="1175"/>
      <c r="BN23" s="1175"/>
      <c r="BO23" s="1175"/>
      <c r="BP23" s="1175"/>
      <c r="BQ23" s="1175"/>
      <c r="BR23" s="1175"/>
      <c r="BS23" s="1175"/>
      <c r="BT23" s="1175"/>
      <c r="BU23" s="1175"/>
      <c r="BV23" s="1175"/>
      <c r="BW23" s="1175"/>
      <c r="BX23" s="1175"/>
      <c r="BY23" s="1175"/>
      <c r="BZ23" s="1175"/>
      <c r="CA23" s="1175"/>
      <c r="CB23" s="1175"/>
      <c r="CC23" s="1175"/>
      <c r="CD23" s="1175"/>
      <c r="CE23" s="1175"/>
      <c r="CF23" s="1175"/>
      <c r="CG23" s="1175"/>
      <c r="CH23" s="1175"/>
      <c r="CI23" s="1175"/>
      <c r="CJ23" s="1175"/>
      <c r="CK23" s="1175"/>
      <c r="CL23" s="1175"/>
      <c r="CM23" s="1175"/>
      <c r="CN23" s="1175"/>
      <c r="CO23" s="1175"/>
      <c r="CP23" s="1175"/>
      <c r="CQ23" s="1175"/>
      <c r="CR23" s="1175"/>
      <c r="CS23" s="1175"/>
      <c r="CT23" s="1175"/>
      <c r="CU23" s="1175"/>
      <c r="CV23" s="1175"/>
      <c r="CW23" s="1175"/>
      <c r="CX23" s="1175"/>
      <c r="CY23" s="1175"/>
      <c r="CZ23" s="1175"/>
      <c r="DA23" s="1175"/>
      <c r="DB23" s="1175"/>
      <c r="DC23" s="1175"/>
      <c r="DD23" s="1175"/>
      <c r="DE23" s="1175"/>
      <c r="DF23" s="1175"/>
      <c r="DG23" s="1175"/>
      <c r="DH23" s="1175"/>
      <c r="DI23" s="1175"/>
      <c r="DJ23" s="1174"/>
      <c r="DK23" s="1174"/>
      <c r="DL23" s="1174"/>
      <c r="DM23" s="1174"/>
      <c r="DN23" s="1174"/>
      <c r="DO23" s="1174"/>
      <c r="DP23" s="1174"/>
      <c r="DQ23" s="1174"/>
      <c r="DR23" s="1174"/>
      <c r="DS23" s="1174"/>
    </row>
    <row r="24" spans="1:123" ht="18" customHeight="1" x14ac:dyDescent="0.3">
      <c r="E24" s="1174"/>
      <c r="F24" s="1174"/>
      <c r="G24" s="1174"/>
      <c r="H24" s="1174"/>
      <c r="I24" s="1174"/>
      <c r="J24" s="1175"/>
      <c r="K24" s="1175"/>
      <c r="L24" s="1175"/>
      <c r="M24" s="1175"/>
      <c r="N24" s="1175"/>
      <c r="O24" s="1175"/>
      <c r="P24" s="1175"/>
      <c r="Q24" s="1175"/>
      <c r="R24" s="1175"/>
      <c r="S24" s="1175"/>
      <c r="T24" s="1175"/>
      <c r="U24" s="1175"/>
      <c r="V24" s="1175"/>
      <c r="W24" s="1175"/>
      <c r="X24" s="1175"/>
      <c r="Y24" s="1175"/>
      <c r="Z24" s="1175"/>
      <c r="AA24" s="1175"/>
      <c r="AB24" s="1175"/>
      <c r="AC24" s="1175"/>
      <c r="AD24" s="1175"/>
      <c r="AE24" s="1175"/>
      <c r="AF24" s="1175"/>
      <c r="AG24" s="1175"/>
      <c r="AH24" s="1175"/>
      <c r="AI24" s="1175"/>
      <c r="AJ24" s="1175"/>
      <c r="AK24" s="1175"/>
      <c r="AL24" s="1175"/>
      <c r="AM24" s="1175"/>
      <c r="AN24" s="1175"/>
      <c r="AO24" s="1175"/>
      <c r="AP24" s="1175"/>
      <c r="AQ24" s="1175"/>
      <c r="AR24" s="1175"/>
      <c r="AS24" s="1175"/>
      <c r="AT24" s="1175"/>
      <c r="AU24" s="1175"/>
      <c r="AV24" s="1175"/>
      <c r="AW24" s="1175"/>
      <c r="AX24" s="1175"/>
      <c r="AY24" s="1175"/>
      <c r="AZ24" s="1175"/>
      <c r="BA24" s="1175"/>
      <c r="BB24" s="1175"/>
      <c r="BC24" s="1175"/>
      <c r="BD24" s="1175"/>
      <c r="BE24" s="1175"/>
      <c r="BF24" s="1175"/>
      <c r="BG24" s="1175"/>
      <c r="BH24" s="1175"/>
      <c r="BI24" s="1175"/>
      <c r="BJ24" s="1175"/>
      <c r="BK24" s="1175"/>
      <c r="BL24" s="1175"/>
      <c r="BM24" s="1175"/>
      <c r="BN24" s="1175"/>
      <c r="BO24" s="1175"/>
      <c r="BP24" s="1175"/>
      <c r="BQ24" s="1175"/>
      <c r="BR24" s="1175"/>
      <c r="BS24" s="1175"/>
      <c r="BT24" s="1175"/>
      <c r="BU24" s="1175"/>
      <c r="BV24" s="1175"/>
      <c r="BW24" s="1175"/>
      <c r="BX24" s="1175"/>
      <c r="BY24" s="1175"/>
      <c r="BZ24" s="1175"/>
      <c r="CA24" s="1175"/>
      <c r="CB24" s="1175"/>
      <c r="CC24" s="1175"/>
      <c r="CD24" s="1175"/>
      <c r="CE24" s="1175"/>
      <c r="CF24" s="1175"/>
      <c r="CG24" s="1175"/>
      <c r="CH24" s="1175"/>
      <c r="CI24" s="1175"/>
      <c r="CJ24" s="1175"/>
      <c r="CK24" s="1175"/>
      <c r="CL24" s="1175"/>
      <c r="CM24" s="1175"/>
      <c r="CN24" s="1175"/>
      <c r="CO24" s="1175"/>
      <c r="CP24" s="1175"/>
      <c r="CQ24" s="1175"/>
      <c r="CR24" s="1175"/>
      <c r="CS24" s="1175"/>
      <c r="CT24" s="1175"/>
      <c r="CU24" s="1175"/>
      <c r="CV24" s="1175"/>
      <c r="CW24" s="1175"/>
      <c r="CX24" s="1175"/>
      <c r="CY24" s="1175"/>
      <c r="CZ24" s="1175"/>
      <c r="DA24" s="1175"/>
      <c r="DB24" s="1175"/>
      <c r="DC24" s="1175"/>
      <c r="DD24" s="1175"/>
      <c r="DE24" s="1175"/>
      <c r="DF24" s="1175"/>
      <c r="DG24" s="1175"/>
      <c r="DH24" s="1175"/>
      <c r="DI24" s="1175"/>
      <c r="DJ24" s="1174"/>
      <c r="DK24" s="1174"/>
      <c r="DL24" s="1174"/>
      <c r="DM24" s="1174"/>
      <c r="DN24" s="1174"/>
      <c r="DO24" s="1174"/>
      <c r="DP24" s="1174"/>
      <c r="DQ24" s="1174"/>
      <c r="DR24" s="1174"/>
      <c r="DS24" s="1174"/>
    </row>
    <row r="25" spans="1:123" ht="18" customHeight="1" x14ac:dyDescent="0.3">
      <c r="E25" s="1174"/>
      <c r="F25" s="1174"/>
      <c r="G25" s="1174"/>
      <c r="H25" s="1174"/>
      <c r="I25" s="1174"/>
      <c r="J25" s="1175"/>
      <c r="K25" s="1175"/>
      <c r="L25" s="1175"/>
      <c r="M25" s="1175"/>
      <c r="N25" s="1175"/>
      <c r="O25" s="1175"/>
      <c r="P25" s="1175"/>
      <c r="Q25" s="1175"/>
      <c r="R25" s="1175"/>
      <c r="S25" s="1175"/>
      <c r="T25" s="1175"/>
      <c r="U25" s="1175"/>
      <c r="V25" s="1175"/>
      <c r="W25" s="1175"/>
      <c r="X25" s="1175"/>
      <c r="Y25" s="1175"/>
      <c r="Z25" s="1175"/>
      <c r="AA25" s="1175"/>
      <c r="AB25" s="1175"/>
      <c r="AC25" s="1175"/>
      <c r="AD25" s="1175"/>
      <c r="AE25" s="1175"/>
      <c r="AF25" s="1175"/>
      <c r="AG25" s="1175"/>
      <c r="AH25" s="1175"/>
      <c r="AI25" s="1175"/>
      <c r="AJ25" s="1175"/>
      <c r="AK25" s="1175"/>
      <c r="AL25" s="1175"/>
      <c r="AM25" s="1175"/>
      <c r="AN25" s="1175"/>
      <c r="AO25" s="1175"/>
      <c r="AP25" s="1175"/>
      <c r="AQ25" s="1175"/>
      <c r="AR25" s="1175"/>
      <c r="AS25" s="1175"/>
      <c r="AT25" s="1175"/>
      <c r="AU25" s="1175"/>
      <c r="AV25" s="1175"/>
      <c r="AW25" s="1175"/>
      <c r="AX25" s="1175"/>
      <c r="AY25" s="1175"/>
      <c r="AZ25" s="1175"/>
      <c r="BA25" s="1175"/>
      <c r="BB25" s="1175"/>
      <c r="BC25" s="1175"/>
      <c r="BD25" s="1175"/>
      <c r="BE25" s="1175"/>
      <c r="BF25" s="1175"/>
      <c r="BG25" s="1175"/>
      <c r="BH25" s="1175"/>
      <c r="BI25" s="1175"/>
      <c r="BJ25" s="1175"/>
      <c r="BK25" s="1175"/>
      <c r="BL25" s="1175"/>
      <c r="BM25" s="1175"/>
      <c r="BN25" s="1175"/>
      <c r="BO25" s="1175"/>
      <c r="BP25" s="1175"/>
      <c r="BQ25" s="1175"/>
      <c r="BR25" s="1175"/>
      <c r="BS25" s="1175"/>
      <c r="BT25" s="1175"/>
      <c r="BU25" s="1175"/>
      <c r="BV25" s="1175"/>
      <c r="BW25" s="1175"/>
      <c r="BX25" s="1175"/>
      <c r="BY25" s="1175"/>
      <c r="BZ25" s="1175"/>
      <c r="CA25" s="1175"/>
      <c r="CB25" s="1175"/>
      <c r="CC25" s="1175"/>
      <c r="CD25" s="1175"/>
      <c r="CE25" s="1175"/>
      <c r="CF25" s="1175"/>
      <c r="CG25" s="1175"/>
      <c r="CH25" s="1175"/>
      <c r="CI25" s="1175"/>
      <c r="CJ25" s="1175"/>
      <c r="CK25" s="1175"/>
      <c r="CL25" s="1175"/>
      <c r="CM25" s="1175"/>
      <c r="CN25" s="1175"/>
      <c r="CO25" s="1175"/>
      <c r="CP25" s="1175"/>
      <c r="CQ25" s="1175"/>
      <c r="CR25" s="1175"/>
      <c r="CS25" s="1175"/>
      <c r="CT25" s="1175"/>
      <c r="CU25" s="1175"/>
      <c r="CV25" s="1175"/>
      <c r="CW25" s="1175"/>
      <c r="CX25" s="1175"/>
      <c r="CY25" s="1175"/>
      <c r="CZ25" s="1175"/>
      <c r="DA25" s="1175"/>
      <c r="DB25" s="1175"/>
      <c r="DC25" s="1175"/>
      <c r="DD25" s="1175"/>
      <c r="DE25" s="1175"/>
      <c r="DF25" s="1175"/>
      <c r="DG25" s="1175"/>
      <c r="DH25" s="1175"/>
      <c r="DI25" s="1175"/>
      <c r="DJ25" s="1174"/>
      <c r="DK25" s="1174"/>
      <c r="DL25" s="1174"/>
      <c r="DM25" s="1174"/>
      <c r="DN25" s="1174"/>
      <c r="DO25" s="1174"/>
      <c r="DP25" s="1174"/>
      <c r="DQ25" s="1174"/>
      <c r="DR25" s="1174"/>
      <c r="DS25" s="1174"/>
    </row>
    <row r="26" spans="1:123" ht="18" customHeight="1" x14ac:dyDescent="0.3">
      <c r="E26" s="1174"/>
      <c r="F26" s="1174"/>
      <c r="G26" s="1174"/>
      <c r="H26" s="1174"/>
      <c r="I26" s="1174"/>
      <c r="J26" s="1175"/>
      <c r="K26" s="1175"/>
      <c r="L26" s="1175"/>
      <c r="M26" s="1175"/>
      <c r="N26" s="1175"/>
      <c r="O26" s="1175"/>
      <c r="P26" s="1175"/>
      <c r="Q26" s="1175"/>
      <c r="R26" s="1175"/>
      <c r="S26" s="1175"/>
      <c r="T26" s="1175"/>
      <c r="U26" s="1175"/>
      <c r="V26" s="1175"/>
      <c r="W26" s="1175"/>
      <c r="X26" s="1175"/>
      <c r="Y26" s="1175"/>
      <c r="Z26" s="1175"/>
      <c r="AA26" s="1175"/>
      <c r="AB26" s="1175"/>
      <c r="AC26" s="1175"/>
      <c r="AD26" s="1175"/>
      <c r="AE26" s="1175"/>
      <c r="AF26" s="1175"/>
      <c r="AG26" s="1175"/>
      <c r="AH26" s="1175"/>
      <c r="AI26" s="1175"/>
      <c r="AJ26" s="1175"/>
      <c r="AK26" s="1175"/>
      <c r="AL26" s="1175"/>
      <c r="AM26" s="1175"/>
      <c r="AN26" s="1175"/>
      <c r="AO26" s="1175"/>
      <c r="AP26" s="1175"/>
      <c r="AQ26" s="1175"/>
      <c r="AR26" s="1175"/>
      <c r="AS26" s="1175"/>
      <c r="AT26" s="1175"/>
      <c r="AU26" s="1175"/>
      <c r="AV26" s="1175"/>
      <c r="AW26" s="1175"/>
      <c r="AX26" s="1175"/>
      <c r="AY26" s="1175"/>
      <c r="AZ26" s="1175"/>
      <c r="BA26" s="1175"/>
      <c r="BB26" s="1175"/>
      <c r="BC26" s="1175"/>
      <c r="BD26" s="1175"/>
      <c r="BE26" s="1175"/>
      <c r="BF26" s="1175"/>
      <c r="BG26" s="1175"/>
      <c r="BH26" s="1175"/>
      <c r="BI26" s="1175"/>
      <c r="BJ26" s="1175"/>
      <c r="BK26" s="1175"/>
      <c r="BL26" s="1175"/>
      <c r="BM26" s="1175"/>
      <c r="BN26" s="1175"/>
      <c r="BO26" s="1175"/>
      <c r="BP26" s="1175"/>
      <c r="BQ26" s="1175"/>
      <c r="BR26" s="1175"/>
      <c r="BS26" s="1175"/>
      <c r="BT26" s="1175"/>
      <c r="BU26" s="1175"/>
      <c r="BV26" s="1175"/>
      <c r="BW26" s="1175"/>
      <c r="BX26" s="1175"/>
      <c r="BY26" s="1175"/>
      <c r="BZ26" s="1175"/>
      <c r="CA26" s="1175"/>
      <c r="CB26" s="1175"/>
      <c r="CC26" s="1175"/>
      <c r="CD26" s="1175"/>
      <c r="CE26" s="1175"/>
      <c r="CF26" s="1175"/>
      <c r="CG26" s="1175"/>
      <c r="CH26" s="1175"/>
      <c r="CI26" s="1175"/>
      <c r="CJ26" s="1175"/>
      <c r="CK26" s="1175"/>
      <c r="CL26" s="1175"/>
      <c r="CM26" s="1175"/>
      <c r="CN26" s="1175"/>
      <c r="CO26" s="1175"/>
      <c r="CP26" s="1175"/>
      <c r="CQ26" s="1175"/>
      <c r="CR26" s="1175"/>
      <c r="CS26" s="1175"/>
      <c r="CT26" s="1175"/>
      <c r="CU26" s="1175"/>
      <c r="CV26" s="1175"/>
      <c r="CW26" s="1175"/>
      <c r="CX26" s="1175"/>
      <c r="CY26" s="1175"/>
      <c r="CZ26" s="1175"/>
      <c r="DA26" s="1175"/>
      <c r="DB26" s="1175"/>
      <c r="DC26" s="1175"/>
      <c r="DD26" s="1175"/>
      <c r="DE26" s="1175"/>
      <c r="DF26" s="1175"/>
      <c r="DG26" s="1175"/>
      <c r="DH26" s="1175"/>
      <c r="DI26" s="1175"/>
      <c r="DJ26" s="1174"/>
      <c r="DK26" s="1174"/>
      <c r="DL26" s="1174"/>
      <c r="DM26" s="1174"/>
      <c r="DN26" s="1174"/>
      <c r="DO26" s="1174"/>
      <c r="DP26" s="1174"/>
      <c r="DQ26" s="1174"/>
      <c r="DR26" s="1174"/>
      <c r="DS26" s="1174"/>
    </row>
    <row r="27" spans="1:123" ht="18" customHeight="1" x14ac:dyDescent="0.3">
      <c r="E27" s="1174"/>
      <c r="F27" s="1174"/>
      <c r="G27" s="1174"/>
      <c r="H27" s="1174"/>
      <c r="I27" s="1174"/>
      <c r="J27" s="1175"/>
      <c r="K27" s="1175"/>
      <c r="L27" s="1175"/>
      <c r="M27" s="1175"/>
      <c r="N27" s="1175"/>
      <c r="O27" s="1175"/>
      <c r="P27" s="1175"/>
      <c r="Q27" s="1175"/>
      <c r="R27" s="1175"/>
      <c r="S27" s="1175"/>
      <c r="T27" s="1175"/>
      <c r="U27" s="1175"/>
      <c r="V27" s="1175"/>
      <c r="W27" s="1175"/>
      <c r="X27" s="1175"/>
      <c r="Y27" s="1175"/>
      <c r="Z27" s="1175"/>
      <c r="AA27" s="1175"/>
      <c r="AB27" s="1175"/>
      <c r="AC27" s="1175"/>
      <c r="AD27" s="1175"/>
      <c r="AE27" s="1175"/>
      <c r="AF27" s="1175"/>
      <c r="AG27" s="1175"/>
      <c r="AH27" s="1175"/>
      <c r="AI27" s="1175"/>
      <c r="AJ27" s="1175"/>
      <c r="AK27" s="1175"/>
      <c r="AL27" s="1175"/>
      <c r="AM27" s="1175"/>
      <c r="AN27" s="1175"/>
      <c r="AO27" s="1175"/>
      <c r="AP27" s="1175"/>
      <c r="AQ27" s="1175"/>
      <c r="AR27" s="1175"/>
      <c r="AS27" s="1175"/>
      <c r="AT27" s="1175"/>
      <c r="AU27" s="1175"/>
      <c r="AV27" s="1175"/>
      <c r="AW27" s="1175"/>
      <c r="AX27" s="1175"/>
      <c r="AY27" s="1175"/>
      <c r="AZ27" s="1175"/>
      <c r="BA27" s="1175"/>
      <c r="BB27" s="1175"/>
      <c r="BC27" s="1175"/>
      <c r="BD27" s="1175"/>
      <c r="BE27" s="1175"/>
      <c r="BF27" s="1175"/>
      <c r="BG27" s="1175"/>
      <c r="BH27" s="1175"/>
      <c r="BI27" s="1175"/>
      <c r="BJ27" s="1175"/>
      <c r="BK27" s="1175"/>
      <c r="BL27" s="1175"/>
      <c r="BM27" s="1175"/>
      <c r="BN27" s="1175"/>
      <c r="BO27" s="1175"/>
      <c r="BP27" s="1175"/>
      <c r="BQ27" s="1175"/>
      <c r="BR27" s="1175"/>
      <c r="BS27" s="1175"/>
      <c r="BT27" s="1175"/>
      <c r="BU27" s="1175"/>
      <c r="BV27" s="1175"/>
      <c r="BW27" s="1175"/>
      <c r="BX27" s="1175"/>
      <c r="BY27" s="1175"/>
      <c r="BZ27" s="1175"/>
      <c r="CA27" s="1175"/>
      <c r="CB27" s="1175"/>
      <c r="CC27" s="1175"/>
      <c r="CD27" s="1175"/>
      <c r="CE27" s="1175"/>
      <c r="CF27" s="1175"/>
      <c r="CG27" s="1175"/>
      <c r="CH27" s="1175"/>
      <c r="CI27" s="1175"/>
      <c r="CJ27" s="1175"/>
      <c r="CK27" s="1175"/>
      <c r="CL27" s="1175"/>
      <c r="CM27" s="1175"/>
      <c r="CN27" s="1175"/>
      <c r="CO27" s="1175"/>
      <c r="CP27" s="1175"/>
      <c r="CQ27" s="1175"/>
      <c r="CR27" s="1175"/>
      <c r="CS27" s="1175"/>
      <c r="CT27" s="1175"/>
      <c r="CU27" s="1175"/>
      <c r="CV27" s="1175"/>
      <c r="CW27" s="1175"/>
      <c r="CX27" s="1175"/>
      <c r="CY27" s="1175"/>
      <c r="CZ27" s="1175"/>
      <c r="DA27" s="1175"/>
      <c r="DB27" s="1175"/>
      <c r="DC27" s="1175"/>
      <c r="DD27" s="1175"/>
      <c r="DE27" s="1175"/>
      <c r="DF27" s="1175"/>
      <c r="DG27" s="1175"/>
      <c r="DH27" s="1175"/>
      <c r="DI27" s="1175"/>
      <c r="DJ27" s="1174"/>
      <c r="DK27" s="1174"/>
      <c r="DL27" s="1174"/>
      <c r="DM27" s="1174"/>
      <c r="DN27" s="1174"/>
      <c r="DO27" s="1174"/>
      <c r="DP27" s="1174"/>
      <c r="DQ27" s="1174"/>
      <c r="DR27" s="1174"/>
      <c r="DS27" s="1174"/>
    </row>
    <row r="28" spans="1:123" ht="18" customHeight="1" x14ac:dyDescent="0.3">
      <c r="E28" s="1174"/>
      <c r="F28" s="1174"/>
      <c r="G28" s="1174"/>
      <c r="H28" s="1174"/>
      <c r="I28" s="1174"/>
      <c r="J28" s="1175"/>
      <c r="K28" s="1175"/>
      <c r="L28" s="1175"/>
      <c r="M28" s="1175"/>
      <c r="N28" s="1175"/>
      <c r="O28" s="1175"/>
      <c r="P28" s="1175"/>
      <c r="Q28" s="1175"/>
      <c r="R28" s="1175"/>
      <c r="S28" s="1175"/>
      <c r="T28" s="1175"/>
      <c r="U28" s="1175"/>
      <c r="V28" s="1175"/>
      <c r="W28" s="1175"/>
      <c r="X28" s="1175"/>
      <c r="Y28" s="1175"/>
      <c r="Z28" s="1175"/>
      <c r="AA28" s="1175"/>
      <c r="AB28" s="1175"/>
      <c r="AC28" s="1175"/>
      <c r="AD28" s="1175"/>
      <c r="AE28" s="1175"/>
      <c r="AF28" s="1175"/>
      <c r="AG28" s="1175"/>
      <c r="AH28" s="1175"/>
      <c r="AI28" s="1175"/>
      <c r="AJ28" s="1175"/>
      <c r="AK28" s="1175"/>
      <c r="AL28" s="1175"/>
      <c r="AM28" s="1175"/>
      <c r="AN28" s="1175"/>
      <c r="AO28" s="1175"/>
      <c r="AP28" s="1175"/>
      <c r="AQ28" s="1175"/>
      <c r="AR28" s="1175"/>
      <c r="AS28" s="1175"/>
      <c r="AT28" s="1175"/>
      <c r="AU28" s="1175"/>
      <c r="AV28" s="1175"/>
      <c r="AW28" s="1175"/>
      <c r="AX28" s="1175"/>
      <c r="AY28" s="1175"/>
      <c r="AZ28" s="1175"/>
      <c r="BA28" s="1175"/>
      <c r="BB28" s="1175"/>
      <c r="BC28" s="1175"/>
      <c r="BD28" s="1175"/>
      <c r="BE28" s="1175"/>
      <c r="BF28" s="1175"/>
      <c r="BG28" s="1175"/>
      <c r="BH28" s="1175"/>
      <c r="BI28" s="1175"/>
      <c r="BJ28" s="1175"/>
      <c r="BK28" s="1175"/>
      <c r="BL28" s="1175"/>
      <c r="BM28" s="1175"/>
      <c r="BN28" s="1175"/>
      <c r="BO28" s="1175"/>
      <c r="BP28" s="1175"/>
      <c r="BQ28" s="1175"/>
      <c r="BR28" s="1175"/>
      <c r="BS28" s="1175"/>
      <c r="BT28" s="1175"/>
      <c r="BU28" s="1175"/>
      <c r="BV28" s="1175"/>
      <c r="BW28" s="1175"/>
      <c r="BX28" s="1175"/>
      <c r="BY28" s="1175"/>
      <c r="BZ28" s="1175"/>
      <c r="CA28" s="1175"/>
      <c r="CB28" s="1175"/>
      <c r="CC28" s="1175"/>
      <c r="CD28" s="1175"/>
      <c r="CE28" s="1175"/>
      <c r="CF28" s="1175"/>
      <c r="CG28" s="1175"/>
      <c r="CH28" s="1175"/>
      <c r="CI28" s="1175"/>
      <c r="CJ28" s="1175"/>
      <c r="CK28" s="1175"/>
      <c r="CL28" s="1175"/>
      <c r="CM28" s="1175"/>
      <c r="CN28" s="1175"/>
      <c r="CO28" s="1175"/>
      <c r="CP28" s="1175"/>
      <c r="CQ28" s="1175"/>
      <c r="CR28" s="1175"/>
      <c r="CS28" s="1175"/>
      <c r="CT28" s="1175"/>
      <c r="CU28" s="1175"/>
      <c r="CV28" s="1175"/>
      <c r="CW28" s="1175"/>
      <c r="CX28" s="1175"/>
      <c r="CY28" s="1175"/>
      <c r="CZ28" s="1175"/>
      <c r="DA28" s="1175"/>
      <c r="DB28" s="1175"/>
      <c r="DC28" s="1175"/>
      <c r="DD28" s="1175"/>
      <c r="DE28" s="1175"/>
      <c r="DF28" s="1175"/>
      <c r="DG28" s="1175"/>
      <c r="DH28" s="1175"/>
      <c r="DI28" s="1175"/>
      <c r="DJ28" s="1174"/>
      <c r="DK28" s="1174"/>
      <c r="DL28" s="1174"/>
      <c r="DM28" s="1174"/>
      <c r="DN28" s="1174"/>
      <c r="DO28" s="1174"/>
      <c r="DP28" s="1174"/>
      <c r="DQ28" s="1174"/>
      <c r="DR28" s="1174"/>
      <c r="DS28" s="1174"/>
    </row>
    <row r="29" spans="1:123" ht="18" customHeight="1" x14ac:dyDescent="0.3">
      <c r="E29" s="1174"/>
      <c r="F29" s="1174"/>
      <c r="G29" s="1174"/>
      <c r="H29" s="1174"/>
      <c r="I29" s="1174"/>
      <c r="J29" s="1175"/>
      <c r="K29" s="1175"/>
      <c r="L29" s="1175"/>
      <c r="M29" s="1175"/>
      <c r="N29" s="1175"/>
      <c r="O29" s="1175"/>
      <c r="P29" s="1175"/>
      <c r="Q29" s="1175"/>
      <c r="R29" s="1175"/>
      <c r="S29" s="1175"/>
      <c r="T29" s="1175"/>
      <c r="U29" s="1175"/>
      <c r="V29" s="1175"/>
      <c r="W29" s="1175"/>
      <c r="X29" s="1175"/>
      <c r="Y29" s="1175"/>
      <c r="Z29" s="1175"/>
      <c r="AA29" s="1175"/>
      <c r="AB29" s="1175"/>
      <c r="AC29" s="1175"/>
      <c r="AD29" s="1175"/>
      <c r="AE29" s="1175"/>
      <c r="AF29" s="1175"/>
      <c r="AG29" s="1175"/>
      <c r="AH29" s="1175"/>
      <c r="AI29" s="1175"/>
      <c r="AJ29" s="1175"/>
      <c r="AK29" s="1175"/>
      <c r="AL29" s="1175"/>
      <c r="AM29" s="1175"/>
      <c r="AN29" s="1175"/>
      <c r="AO29" s="1175"/>
      <c r="AP29" s="1175"/>
      <c r="AQ29" s="1175"/>
      <c r="AR29" s="1175"/>
      <c r="AS29" s="1175"/>
      <c r="AT29" s="1175"/>
      <c r="AU29" s="1175"/>
      <c r="AV29" s="1175"/>
      <c r="AW29" s="1175"/>
      <c r="AX29" s="1175"/>
      <c r="AY29" s="1175"/>
      <c r="AZ29" s="1175"/>
      <c r="BA29" s="1175"/>
      <c r="BB29" s="1175"/>
      <c r="BC29" s="1175"/>
      <c r="BD29" s="1175"/>
      <c r="BE29" s="1175"/>
      <c r="BF29" s="1175"/>
      <c r="BG29" s="1175"/>
      <c r="BH29" s="1175"/>
      <c r="BI29" s="1175"/>
      <c r="BJ29" s="1175"/>
      <c r="BK29" s="1175"/>
      <c r="BL29" s="1175"/>
      <c r="BM29" s="1175"/>
      <c r="BN29" s="1175"/>
      <c r="BO29" s="1175"/>
      <c r="BP29" s="1175"/>
      <c r="BQ29" s="1175"/>
      <c r="BR29" s="1175"/>
      <c r="BS29" s="1175"/>
      <c r="BT29" s="1175"/>
      <c r="BU29" s="1175"/>
      <c r="BV29" s="1175"/>
      <c r="BW29" s="1175"/>
      <c r="BX29" s="1175"/>
      <c r="BY29" s="1175"/>
      <c r="BZ29" s="1175"/>
      <c r="CA29" s="1175"/>
      <c r="CB29" s="1175"/>
      <c r="CC29" s="1175"/>
      <c r="CD29" s="1175"/>
      <c r="CE29" s="1175"/>
      <c r="CF29" s="1175"/>
      <c r="CG29" s="1175"/>
      <c r="CH29" s="1175"/>
      <c r="CI29" s="1175"/>
      <c r="CJ29" s="1175"/>
      <c r="CK29" s="1175"/>
      <c r="CL29" s="1175"/>
      <c r="CM29" s="1175"/>
      <c r="CN29" s="1175"/>
      <c r="CO29" s="1175"/>
      <c r="CP29" s="1175"/>
      <c r="CQ29" s="1175"/>
      <c r="CR29" s="1175"/>
      <c r="CS29" s="1175"/>
      <c r="CT29" s="1175"/>
      <c r="CU29" s="1175"/>
      <c r="CV29" s="1175"/>
      <c r="CW29" s="1175"/>
      <c r="CX29" s="1175"/>
      <c r="CY29" s="1175"/>
      <c r="CZ29" s="1175"/>
      <c r="DA29" s="1175"/>
      <c r="DB29" s="1175"/>
      <c r="DC29" s="1175"/>
      <c r="DD29" s="1175"/>
      <c r="DE29" s="1175"/>
      <c r="DF29" s="1175"/>
      <c r="DG29" s="1175"/>
      <c r="DH29" s="1175"/>
      <c r="DI29" s="1175"/>
      <c r="DJ29" s="1174"/>
      <c r="DK29" s="1174"/>
      <c r="DL29" s="1174"/>
      <c r="DM29" s="1174"/>
      <c r="DN29" s="1174"/>
      <c r="DO29" s="1174"/>
      <c r="DP29" s="1174"/>
      <c r="DQ29" s="1174"/>
      <c r="DR29" s="1174"/>
      <c r="DS29" s="1174"/>
    </row>
    <row r="30" spans="1:123" ht="18" customHeight="1" x14ac:dyDescent="0.3">
      <c r="E30" s="1174"/>
      <c r="F30" s="1174"/>
      <c r="G30" s="1174"/>
      <c r="H30" s="1174"/>
      <c r="I30" s="1174"/>
      <c r="J30" s="1175"/>
      <c r="K30" s="1175"/>
      <c r="L30" s="1175"/>
      <c r="M30" s="1175"/>
      <c r="N30" s="1175"/>
      <c r="O30" s="1175"/>
      <c r="P30" s="1175"/>
      <c r="Q30" s="1175"/>
      <c r="R30" s="1175"/>
      <c r="S30" s="1175"/>
      <c r="T30" s="1175"/>
      <c r="U30" s="1175"/>
      <c r="V30" s="1175"/>
      <c r="W30" s="1175"/>
      <c r="X30" s="1175"/>
      <c r="Y30" s="1175"/>
      <c r="Z30" s="1175"/>
      <c r="AA30" s="1175"/>
      <c r="AB30" s="1175"/>
      <c r="AC30" s="1175"/>
      <c r="AD30" s="1175"/>
      <c r="AE30" s="1175"/>
      <c r="AF30" s="1175"/>
      <c r="AG30" s="1175"/>
      <c r="AH30" s="1175"/>
      <c r="AI30" s="1175"/>
      <c r="AJ30" s="1175"/>
      <c r="AK30" s="1175"/>
      <c r="AL30" s="1175"/>
      <c r="AM30" s="1175"/>
      <c r="AN30" s="1175"/>
      <c r="AO30" s="1175"/>
      <c r="AP30" s="1175"/>
      <c r="AQ30" s="1175"/>
      <c r="AR30" s="1175"/>
      <c r="AS30" s="1175"/>
      <c r="AT30" s="1175"/>
      <c r="AU30" s="1175"/>
      <c r="AV30" s="1175"/>
      <c r="AW30" s="1175"/>
      <c r="AX30" s="1175"/>
      <c r="AY30" s="1175"/>
      <c r="AZ30" s="1175"/>
      <c r="BA30" s="1175"/>
      <c r="BB30" s="1175"/>
      <c r="BC30" s="1175"/>
      <c r="BD30" s="1175"/>
      <c r="BE30" s="1175"/>
      <c r="BF30" s="1175"/>
      <c r="BG30" s="1175"/>
      <c r="BH30" s="1175"/>
      <c r="BI30" s="1175"/>
      <c r="BJ30" s="1175"/>
      <c r="BK30" s="1175"/>
      <c r="BL30" s="1175"/>
      <c r="BM30" s="1175"/>
      <c r="BN30" s="1175"/>
      <c r="BO30" s="1175"/>
      <c r="BP30" s="1175"/>
      <c r="BQ30" s="1175"/>
      <c r="BR30" s="1175"/>
      <c r="BS30" s="1175"/>
      <c r="BT30" s="1175"/>
      <c r="BU30" s="1175"/>
      <c r="BV30" s="1175"/>
      <c r="BW30" s="1175"/>
      <c r="BX30" s="1175"/>
      <c r="BY30" s="1175"/>
      <c r="BZ30" s="1175"/>
      <c r="CA30" s="1175"/>
      <c r="CB30" s="1175"/>
      <c r="CC30" s="1175"/>
      <c r="CD30" s="1175"/>
      <c r="CE30" s="1175"/>
      <c r="CF30" s="1175"/>
      <c r="CG30" s="1175"/>
      <c r="CH30" s="1175"/>
      <c r="CI30" s="1175"/>
      <c r="CJ30" s="1175"/>
      <c r="CK30" s="1175"/>
      <c r="CL30" s="1175"/>
      <c r="CM30" s="1175"/>
      <c r="CN30" s="1175"/>
      <c r="CO30" s="1175"/>
      <c r="CP30" s="1175"/>
      <c r="CQ30" s="1175"/>
      <c r="CR30" s="1175"/>
      <c r="CS30" s="1175"/>
      <c r="CT30" s="1175"/>
      <c r="CU30" s="1175"/>
      <c r="CV30" s="1175"/>
      <c r="CW30" s="1175"/>
      <c r="CX30" s="1175"/>
      <c r="CY30" s="1175"/>
      <c r="CZ30" s="1175"/>
      <c r="DA30" s="1175"/>
      <c r="DB30" s="1175"/>
      <c r="DC30" s="1175"/>
      <c r="DD30" s="1175"/>
      <c r="DE30" s="1175"/>
      <c r="DF30" s="1175"/>
      <c r="DG30" s="1175"/>
      <c r="DH30" s="1175"/>
      <c r="DI30" s="1175"/>
      <c r="DJ30" s="1174"/>
      <c r="DK30" s="1174"/>
      <c r="DL30" s="1174"/>
      <c r="DM30" s="1174"/>
      <c r="DN30" s="1174"/>
      <c r="DO30" s="1174"/>
      <c r="DP30" s="1174"/>
      <c r="DQ30" s="1174"/>
      <c r="DR30" s="1174"/>
      <c r="DS30" s="1174"/>
    </row>
    <row r="31" spans="1:123" ht="18" customHeight="1" x14ac:dyDescent="0.3">
      <c r="E31" s="1174"/>
      <c r="F31" s="1174"/>
      <c r="G31" s="1174"/>
      <c r="H31" s="1174"/>
      <c r="I31" s="1174"/>
      <c r="J31" s="1175"/>
      <c r="K31" s="1175"/>
      <c r="L31" s="1175"/>
      <c r="M31" s="1175"/>
      <c r="N31" s="1175"/>
      <c r="O31" s="1175"/>
      <c r="P31" s="1175"/>
      <c r="Q31" s="1175"/>
      <c r="R31" s="1175"/>
      <c r="S31" s="1175"/>
      <c r="T31" s="1175"/>
      <c r="U31" s="1175"/>
      <c r="V31" s="1175"/>
      <c r="W31" s="1175"/>
      <c r="X31" s="1175"/>
      <c r="Y31" s="1175"/>
      <c r="Z31" s="1175"/>
      <c r="AA31" s="1175"/>
      <c r="AB31" s="1175"/>
      <c r="AC31" s="1175"/>
      <c r="AD31" s="1175"/>
      <c r="AE31" s="1175"/>
      <c r="AF31" s="1175"/>
      <c r="AG31" s="1175"/>
      <c r="AH31" s="1175"/>
      <c r="AI31" s="1175"/>
      <c r="AJ31" s="1175"/>
      <c r="AK31" s="1175"/>
      <c r="AL31" s="1175"/>
      <c r="AM31" s="1175"/>
      <c r="AN31" s="1175"/>
      <c r="AO31" s="1175"/>
      <c r="AP31" s="1175"/>
      <c r="AQ31" s="1175"/>
      <c r="AR31" s="1175"/>
      <c r="AS31" s="1175"/>
      <c r="AT31" s="1175"/>
      <c r="AU31" s="1175"/>
      <c r="AV31" s="1175"/>
      <c r="AW31" s="1175"/>
      <c r="AX31" s="1175"/>
      <c r="AY31" s="1175"/>
      <c r="AZ31" s="1175"/>
      <c r="BA31" s="1175"/>
      <c r="BB31" s="1175"/>
      <c r="BC31" s="1175"/>
      <c r="BD31" s="1175"/>
      <c r="BE31" s="1175"/>
      <c r="BF31" s="1175"/>
      <c r="BG31" s="1175"/>
      <c r="BH31" s="1175"/>
      <c r="BI31" s="1175"/>
      <c r="BJ31" s="1175"/>
      <c r="BK31" s="1175"/>
      <c r="BL31" s="1175"/>
      <c r="BM31" s="1175"/>
      <c r="BN31" s="1175"/>
      <c r="BO31" s="1175"/>
      <c r="BP31" s="1175"/>
      <c r="BQ31" s="1175"/>
      <c r="BR31" s="1175"/>
      <c r="BS31" s="1175"/>
      <c r="BT31" s="1175"/>
      <c r="BU31" s="1175"/>
      <c r="BV31" s="1175"/>
      <c r="BW31" s="1175"/>
      <c r="BX31" s="1175"/>
      <c r="BY31" s="1175"/>
      <c r="BZ31" s="1175"/>
      <c r="CA31" s="1175"/>
      <c r="CB31" s="1175"/>
      <c r="CC31" s="1175"/>
      <c r="CD31" s="1175"/>
      <c r="CE31" s="1175"/>
      <c r="CF31" s="1175"/>
      <c r="CG31" s="1175"/>
      <c r="CH31" s="1175"/>
      <c r="CI31" s="1175"/>
      <c r="CJ31" s="1175"/>
      <c r="CK31" s="1175"/>
      <c r="CL31" s="1175"/>
      <c r="CM31" s="1175"/>
      <c r="CN31" s="1175"/>
      <c r="CO31" s="1175"/>
      <c r="CP31" s="1175"/>
      <c r="CQ31" s="1175"/>
      <c r="CR31" s="1175"/>
      <c r="CS31" s="1175"/>
      <c r="CT31" s="1175"/>
      <c r="CU31" s="1175"/>
      <c r="CV31" s="1175"/>
      <c r="CW31" s="1175"/>
      <c r="CX31" s="1175"/>
      <c r="CY31" s="1175"/>
      <c r="CZ31" s="1175"/>
      <c r="DA31" s="1175"/>
      <c r="DB31" s="1175"/>
      <c r="DC31" s="1175"/>
      <c r="DD31" s="1175"/>
      <c r="DE31" s="1175"/>
      <c r="DF31" s="1175"/>
      <c r="DG31" s="1175"/>
      <c r="DH31" s="1175"/>
      <c r="DI31" s="1175"/>
      <c r="DJ31" s="1174"/>
      <c r="DK31" s="1174"/>
      <c r="DL31" s="1174"/>
      <c r="DM31" s="1174"/>
      <c r="DN31" s="1174"/>
      <c r="DO31" s="1174"/>
      <c r="DP31" s="1174"/>
      <c r="DQ31" s="1174"/>
      <c r="DR31" s="1174"/>
      <c r="DS31" s="1174"/>
    </row>
    <row r="32" spans="1:123" ht="18" customHeight="1" x14ac:dyDescent="0.3">
      <c r="E32" s="1174"/>
      <c r="F32" s="1174"/>
      <c r="G32" s="1174"/>
      <c r="H32" s="1174"/>
      <c r="I32" s="1174"/>
      <c r="J32" s="1175"/>
      <c r="K32" s="1175"/>
      <c r="L32" s="1175"/>
      <c r="M32" s="1175"/>
      <c r="N32" s="1175"/>
      <c r="O32" s="1175"/>
      <c r="P32" s="1175"/>
      <c r="Q32" s="1175"/>
      <c r="R32" s="1175"/>
      <c r="S32" s="1175"/>
      <c r="T32" s="1175"/>
      <c r="U32" s="1175"/>
      <c r="V32" s="1175"/>
      <c r="W32" s="1175"/>
      <c r="X32" s="1175"/>
      <c r="Y32" s="1175"/>
      <c r="Z32" s="1175"/>
      <c r="AA32" s="1175"/>
      <c r="AB32" s="1175"/>
      <c r="AC32" s="1175"/>
      <c r="AD32" s="1175"/>
      <c r="AE32" s="1175"/>
      <c r="AF32" s="1175"/>
      <c r="AG32" s="1175"/>
      <c r="AH32" s="1175"/>
      <c r="AI32" s="1175"/>
      <c r="AJ32" s="1175"/>
      <c r="AK32" s="1175"/>
      <c r="AL32" s="1175"/>
      <c r="AM32" s="1175"/>
      <c r="AN32" s="1175"/>
      <c r="AO32" s="1175"/>
      <c r="AP32" s="1175"/>
      <c r="AQ32" s="1175"/>
      <c r="AR32" s="1175"/>
      <c r="AS32" s="1175"/>
      <c r="AT32" s="1175"/>
      <c r="AU32" s="1175"/>
      <c r="AV32" s="1175"/>
      <c r="AW32" s="1175"/>
      <c r="AX32" s="1175"/>
      <c r="AY32" s="1175"/>
      <c r="AZ32" s="1175"/>
      <c r="BA32" s="1175"/>
      <c r="BB32" s="1175"/>
      <c r="BC32" s="1175"/>
      <c r="BD32" s="1175"/>
      <c r="BE32" s="1175"/>
      <c r="BF32" s="1175"/>
      <c r="BG32" s="1175"/>
      <c r="BH32" s="1175"/>
      <c r="BI32" s="1175"/>
      <c r="BJ32" s="1175"/>
      <c r="BK32" s="1175"/>
      <c r="BL32" s="1175"/>
      <c r="BM32" s="1175"/>
      <c r="BN32" s="1175"/>
      <c r="BO32" s="1175"/>
      <c r="BP32" s="1175"/>
      <c r="BQ32" s="1175"/>
      <c r="BR32" s="1175"/>
      <c r="BS32" s="1175"/>
      <c r="BT32" s="1175"/>
      <c r="BU32" s="1175"/>
      <c r="BV32" s="1175"/>
      <c r="BW32" s="1175"/>
      <c r="BX32" s="1175"/>
      <c r="BY32" s="1175"/>
      <c r="BZ32" s="1175"/>
      <c r="CA32" s="1175"/>
      <c r="CB32" s="1175"/>
      <c r="CC32" s="1175"/>
      <c r="CD32" s="1175"/>
      <c r="CE32" s="1175"/>
      <c r="CF32" s="1175"/>
      <c r="CG32" s="1175"/>
      <c r="CH32" s="1175"/>
      <c r="CI32" s="1175"/>
      <c r="CJ32" s="1175"/>
      <c r="CK32" s="1175"/>
      <c r="CL32" s="1175"/>
      <c r="CM32" s="1175"/>
      <c r="CN32" s="1175"/>
      <c r="CO32" s="1175"/>
      <c r="CP32" s="1175"/>
      <c r="CQ32" s="1175"/>
      <c r="CR32" s="1175"/>
      <c r="CS32" s="1175"/>
      <c r="CT32" s="1175"/>
      <c r="CU32" s="1175"/>
      <c r="CV32" s="1175"/>
      <c r="CW32" s="1175"/>
      <c r="CX32" s="1175"/>
      <c r="CY32" s="1175"/>
      <c r="CZ32" s="1175"/>
      <c r="DA32" s="1175"/>
      <c r="DB32" s="1175"/>
      <c r="DC32" s="1175"/>
      <c r="DD32" s="1175"/>
      <c r="DE32" s="1175"/>
      <c r="DF32" s="1175"/>
      <c r="DG32" s="1175"/>
      <c r="DH32" s="1175"/>
      <c r="DI32" s="1175"/>
      <c r="DJ32" s="1174"/>
      <c r="DK32" s="1174"/>
      <c r="DL32" s="1174"/>
      <c r="DM32" s="1174"/>
      <c r="DN32" s="1174"/>
      <c r="DO32" s="1174"/>
      <c r="DP32" s="1174"/>
      <c r="DQ32" s="1174"/>
      <c r="DR32" s="1174"/>
      <c r="DS32" s="1174"/>
    </row>
    <row r="33" spans="1:123" ht="18" customHeight="1" x14ac:dyDescent="0.3">
      <c r="E33" s="1174"/>
      <c r="F33" s="1174"/>
      <c r="G33" s="1174"/>
      <c r="H33" s="1174"/>
      <c r="I33" s="1174"/>
      <c r="J33" s="1175"/>
      <c r="K33" s="1175"/>
      <c r="L33" s="1175"/>
      <c r="M33" s="1175"/>
      <c r="N33" s="1175"/>
      <c r="O33" s="1175"/>
      <c r="P33" s="1175"/>
      <c r="Q33" s="1175"/>
      <c r="R33" s="1175"/>
      <c r="S33" s="1175"/>
      <c r="T33" s="1175"/>
      <c r="U33" s="1175"/>
      <c r="V33" s="1175"/>
      <c r="W33" s="1175"/>
      <c r="X33" s="1175"/>
      <c r="Y33" s="1175"/>
      <c r="Z33" s="1175"/>
      <c r="AA33" s="1175"/>
      <c r="AB33" s="1175"/>
      <c r="AC33" s="1175"/>
      <c r="AD33" s="1175"/>
      <c r="AE33" s="1175"/>
      <c r="AF33" s="1175"/>
      <c r="AG33" s="1175"/>
      <c r="AH33" s="1175"/>
      <c r="AI33" s="1175"/>
      <c r="AJ33" s="1175"/>
      <c r="AK33" s="1175"/>
      <c r="AL33" s="1175"/>
      <c r="AM33" s="1175"/>
      <c r="AN33" s="1175"/>
      <c r="AO33" s="1175"/>
      <c r="AP33" s="1175"/>
      <c r="AQ33" s="1175"/>
      <c r="AR33" s="1175"/>
      <c r="AS33" s="1175"/>
      <c r="AT33" s="1175"/>
      <c r="AU33" s="1175"/>
      <c r="AV33" s="1175"/>
      <c r="AW33" s="1175"/>
      <c r="AX33" s="1175"/>
      <c r="AY33" s="1175"/>
      <c r="AZ33" s="1175"/>
      <c r="BA33" s="1175"/>
      <c r="BB33" s="1175"/>
      <c r="BC33" s="1175"/>
      <c r="BD33" s="1175"/>
      <c r="BE33" s="1175"/>
      <c r="BF33" s="1175"/>
      <c r="BG33" s="1175"/>
      <c r="BH33" s="1175"/>
      <c r="BI33" s="1175"/>
      <c r="BJ33" s="1175"/>
      <c r="BK33" s="1175"/>
      <c r="BL33" s="1175"/>
      <c r="BM33" s="1175"/>
      <c r="BN33" s="1175"/>
      <c r="BO33" s="1175"/>
      <c r="BP33" s="1175"/>
      <c r="BQ33" s="1175"/>
      <c r="BR33" s="1175"/>
      <c r="BS33" s="1175"/>
      <c r="BT33" s="1175"/>
      <c r="BU33" s="1175"/>
      <c r="BV33" s="1175"/>
      <c r="BW33" s="1175"/>
      <c r="BX33" s="1175"/>
      <c r="BY33" s="1175"/>
      <c r="BZ33" s="1175"/>
      <c r="CA33" s="1175"/>
      <c r="CB33" s="1175"/>
      <c r="CC33" s="1175"/>
      <c r="CD33" s="1175"/>
      <c r="CE33" s="1175"/>
      <c r="CF33" s="1175"/>
      <c r="CG33" s="1175"/>
      <c r="CH33" s="1175"/>
      <c r="CI33" s="1175"/>
      <c r="CJ33" s="1175"/>
      <c r="CK33" s="1175"/>
      <c r="CL33" s="1175"/>
      <c r="CM33" s="1175"/>
      <c r="CN33" s="1175"/>
      <c r="CO33" s="1175"/>
      <c r="CP33" s="1175"/>
      <c r="CQ33" s="1175"/>
      <c r="CR33" s="1175"/>
      <c r="CS33" s="1175"/>
      <c r="CT33" s="1175"/>
      <c r="CU33" s="1175"/>
      <c r="CV33" s="1175"/>
      <c r="CW33" s="1175"/>
      <c r="CX33" s="1175"/>
      <c r="CY33" s="1175"/>
      <c r="CZ33" s="1175"/>
      <c r="DA33" s="1175"/>
      <c r="DB33" s="1175"/>
      <c r="DC33" s="1175"/>
      <c r="DD33" s="1175"/>
      <c r="DE33" s="1175"/>
      <c r="DF33" s="1175"/>
      <c r="DG33" s="1175"/>
      <c r="DH33" s="1175"/>
      <c r="DI33" s="1175"/>
      <c r="DJ33" s="1174"/>
      <c r="DK33" s="1174"/>
      <c r="DL33" s="1174"/>
      <c r="DM33" s="1174"/>
      <c r="DN33" s="1174"/>
      <c r="DO33" s="1174"/>
      <c r="DP33" s="1174"/>
      <c r="DQ33" s="1174"/>
      <c r="DR33" s="1174"/>
      <c r="DS33" s="1174"/>
    </row>
    <row r="34" spans="1:123" ht="18" customHeight="1" x14ac:dyDescent="0.3">
      <c r="E34" s="1174"/>
      <c r="F34" s="1174"/>
      <c r="G34" s="1174"/>
      <c r="H34" s="1174"/>
      <c r="I34" s="1174"/>
      <c r="J34" s="1175"/>
      <c r="K34" s="1175"/>
      <c r="L34" s="1175"/>
      <c r="M34" s="1175"/>
      <c r="N34" s="1175"/>
      <c r="O34" s="1175"/>
      <c r="P34" s="1175"/>
      <c r="Q34" s="1175"/>
      <c r="R34" s="1175"/>
      <c r="S34" s="1175"/>
      <c r="T34" s="1175"/>
      <c r="U34" s="1175"/>
      <c r="V34" s="1175"/>
      <c r="W34" s="1175"/>
      <c r="X34" s="1175"/>
      <c r="Y34" s="1175"/>
      <c r="Z34" s="1175"/>
      <c r="AA34" s="1175"/>
      <c r="AB34" s="1175"/>
      <c r="AC34" s="1175"/>
      <c r="AD34" s="1175"/>
      <c r="AE34" s="1175"/>
      <c r="AF34" s="1175"/>
      <c r="AG34" s="1175"/>
      <c r="AH34" s="1175"/>
      <c r="AI34" s="1175"/>
      <c r="AJ34" s="1175"/>
      <c r="AK34" s="1175"/>
      <c r="AL34" s="1175"/>
      <c r="AM34" s="1175"/>
      <c r="AN34" s="1175"/>
      <c r="AO34" s="1175"/>
      <c r="AP34" s="1175"/>
      <c r="AQ34" s="1175"/>
      <c r="AR34" s="1175"/>
      <c r="AS34" s="1175"/>
      <c r="AT34" s="1175"/>
      <c r="AU34" s="1175"/>
      <c r="AV34" s="1175"/>
      <c r="AW34" s="1175"/>
      <c r="AX34" s="1175"/>
      <c r="AY34" s="1175"/>
      <c r="AZ34" s="1175"/>
      <c r="BA34" s="1175"/>
      <c r="BB34" s="1175"/>
      <c r="BC34" s="1175"/>
      <c r="BD34" s="1175"/>
      <c r="BE34" s="1175"/>
      <c r="BF34" s="1175"/>
      <c r="BG34" s="1175"/>
      <c r="BH34" s="1175"/>
      <c r="BI34" s="1175"/>
      <c r="BJ34" s="1175"/>
      <c r="BK34" s="1175"/>
      <c r="BL34" s="1175"/>
      <c r="BM34" s="1175"/>
      <c r="BN34" s="1175"/>
      <c r="BO34" s="1175"/>
      <c r="BP34" s="1175"/>
      <c r="BQ34" s="1175"/>
      <c r="BR34" s="1175"/>
      <c r="BS34" s="1175"/>
      <c r="BT34" s="1175"/>
      <c r="BU34" s="1175"/>
      <c r="BV34" s="1175"/>
      <c r="BW34" s="1175"/>
      <c r="BX34" s="1175"/>
      <c r="BY34" s="1175"/>
      <c r="BZ34" s="1175"/>
      <c r="CA34" s="1175"/>
      <c r="CB34" s="1175"/>
      <c r="CC34" s="1175"/>
      <c r="CD34" s="1175"/>
      <c r="CE34" s="1175"/>
      <c r="CF34" s="1175"/>
      <c r="CG34" s="1175"/>
      <c r="CH34" s="1175"/>
      <c r="CI34" s="1175"/>
      <c r="CJ34" s="1175"/>
      <c r="CK34" s="1175"/>
      <c r="CL34" s="1175"/>
      <c r="CM34" s="1175"/>
      <c r="CN34" s="1175"/>
      <c r="CO34" s="1175"/>
      <c r="CP34" s="1175"/>
      <c r="CQ34" s="1175"/>
      <c r="CR34" s="1175"/>
      <c r="CS34" s="1175"/>
      <c r="CT34" s="1175"/>
      <c r="CU34" s="1175"/>
      <c r="CV34" s="1175"/>
      <c r="CW34" s="1175"/>
      <c r="CX34" s="1175"/>
      <c r="CY34" s="1175"/>
      <c r="CZ34" s="1175"/>
      <c r="DA34" s="1175"/>
      <c r="DB34" s="1175"/>
      <c r="DC34" s="1175"/>
      <c r="DD34" s="1175"/>
      <c r="DE34" s="1175"/>
      <c r="DF34" s="1175"/>
      <c r="DG34" s="1175"/>
      <c r="DH34" s="1175"/>
      <c r="DI34" s="1175"/>
      <c r="DJ34" s="1174"/>
      <c r="DK34" s="1174"/>
      <c r="DL34" s="1174"/>
      <c r="DM34" s="1174"/>
      <c r="DN34" s="1174"/>
      <c r="DO34" s="1174"/>
      <c r="DP34" s="1174"/>
      <c r="DQ34" s="1174"/>
      <c r="DR34" s="1174"/>
      <c r="DS34" s="1174"/>
    </row>
    <row r="35" spans="1:123" ht="18" customHeight="1" x14ac:dyDescent="0.3">
      <c r="E35" s="1174"/>
      <c r="F35" s="1174"/>
      <c r="G35" s="1174"/>
      <c r="H35" s="1174"/>
      <c r="I35" s="1174"/>
      <c r="J35" s="1175"/>
      <c r="K35" s="1175"/>
      <c r="L35" s="1175"/>
      <c r="M35" s="1175"/>
      <c r="N35" s="1175"/>
      <c r="O35" s="1175"/>
      <c r="P35" s="1175"/>
      <c r="Q35" s="1175"/>
      <c r="R35" s="1175"/>
      <c r="S35" s="1175"/>
      <c r="T35" s="1175"/>
      <c r="U35" s="1175"/>
      <c r="V35" s="1175"/>
      <c r="W35" s="1175"/>
      <c r="X35" s="1175"/>
      <c r="Y35" s="1175"/>
      <c r="Z35" s="1175"/>
      <c r="AA35" s="1175"/>
      <c r="AB35" s="1175"/>
      <c r="AC35" s="1175"/>
      <c r="AD35" s="1175"/>
      <c r="AE35" s="1175"/>
      <c r="AF35" s="1175"/>
      <c r="AG35" s="1175"/>
      <c r="AH35" s="1175"/>
      <c r="AI35" s="1175"/>
      <c r="AJ35" s="1175"/>
      <c r="AK35" s="1175"/>
      <c r="AL35" s="1175"/>
      <c r="AM35" s="1175"/>
      <c r="AN35" s="1175"/>
      <c r="AO35" s="1175"/>
      <c r="AP35" s="1175"/>
      <c r="AQ35" s="1175"/>
      <c r="AR35" s="1175"/>
      <c r="AS35" s="1175"/>
      <c r="AT35" s="1175"/>
      <c r="AU35" s="1175"/>
      <c r="AV35" s="1175"/>
      <c r="AW35" s="1175"/>
      <c r="AX35" s="1175"/>
      <c r="AY35" s="1175"/>
      <c r="AZ35" s="1175"/>
      <c r="BA35" s="1175"/>
      <c r="BB35" s="1175"/>
      <c r="BC35" s="1175"/>
      <c r="BD35" s="1175"/>
      <c r="BE35" s="1175"/>
      <c r="BF35" s="1175"/>
      <c r="BG35" s="1175"/>
      <c r="BH35" s="1175"/>
      <c r="BI35" s="1175"/>
      <c r="BJ35" s="1175"/>
      <c r="BK35" s="1175"/>
      <c r="BL35" s="1175"/>
      <c r="BM35" s="1175"/>
      <c r="BN35" s="1175"/>
      <c r="BO35" s="1175"/>
      <c r="BP35" s="1175"/>
      <c r="BQ35" s="1175"/>
      <c r="BR35" s="1175"/>
      <c r="BS35" s="1175"/>
      <c r="BT35" s="1175"/>
      <c r="BU35" s="1175"/>
      <c r="BV35" s="1175"/>
      <c r="BW35" s="1175"/>
      <c r="BX35" s="1175"/>
      <c r="BY35" s="1175"/>
      <c r="BZ35" s="1175"/>
      <c r="CA35" s="1175"/>
      <c r="CB35" s="1175"/>
      <c r="CC35" s="1175"/>
      <c r="CD35" s="1175"/>
      <c r="CE35" s="1175"/>
      <c r="CF35" s="1175"/>
      <c r="CG35" s="1175"/>
      <c r="CH35" s="1175"/>
      <c r="CI35" s="1175"/>
      <c r="CJ35" s="1175"/>
      <c r="CK35" s="1175"/>
      <c r="CL35" s="1175"/>
      <c r="CM35" s="1175"/>
      <c r="CN35" s="1175"/>
      <c r="CO35" s="1175"/>
      <c r="CP35" s="1175"/>
      <c r="CQ35" s="1175"/>
      <c r="CR35" s="1175"/>
      <c r="CS35" s="1175"/>
      <c r="CT35" s="1175"/>
      <c r="CU35" s="1175"/>
      <c r="CV35" s="1175"/>
      <c r="CW35" s="1175"/>
      <c r="CX35" s="1175"/>
      <c r="CY35" s="1175"/>
      <c r="CZ35" s="1175"/>
      <c r="DA35" s="1175"/>
      <c r="DB35" s="1175"/>
      <c r="DC35" s="1175"/>
      <c r="DD35" s="1175"/>
      <c r="DE35" s="1175"/>
      <c r="DF35" s="1175"/>
      <c r="DG35" s="1175"/>
      <c r="DH35" s="1175"/>
      <c r="DI35" s="1175"/>
      <c r="DJ35" s="1174"/>
      <c r="DK35" s="1174"/>
      <c r="DL35" s="1174"/>
      <c r="DM35" s="1174"/>
      <c r="DN35" s="1174"/>
      <c r="DO35" s="1174"/>
      <c r="DP35" s="1174"/>
      <c r="DQ35" s="1174"/>
      <c r="DR35" s="1174"/>
      <c r="DS35" s="1174"/>
    </row>
    <row r="36" spans="1:123" ht="18" customHeight="1" x14ac:dyDescent="0.3">
      <c r="E36" s="1174"/>
      <c r="F36" s="1174"/>
      <c r="G36" s="1174"/>
      <c r="H36" s="1174"/>
      <c r="I36" s="1174"/>
      <c r="J36" s="1175"/>
      <c r="K36" s="1175"/>
      <c r="L36" s="1175"/>
      <c r="M36" s="1175"/>
      <c r="N36" s="1175"/>
      <c r="O36" s="1175"/>
      <c r="P36" s="1175"/>
      <c r="Q36" s="1175"/>
      <c r="R36" s="1175"/>
      <c r="S36" s="1175"/>
      <c r="T36" s="1175"/>
      <c r="U36" s="1175"/>
      <c r="V36" s="1175"/>
      <c r="W36" s="1175"/>
      <c r="X36" s="1175"/>
      <c r="Y36" s="1175"/>
      <c r="Z36" s="1175"/>
      <c r="AA36" s="1175"/>
      <c r="AB36" s="1175"/>
      <c r="AC36" s="1175"/>
      <c r="AD36" s="1175"/>
      <c r="AE36" s="1175"/>
      <c r="AF36" s="1175"/>
      <c r="AG36" s="1175"/>
      <c r="AH36" s="1175"/>
      <c r="AI36" s="1175"/>
      <c r="AJ36" s="1175"/>
      <c r="AK36" s="1175"/>
      <c r="AL36" s="1175"/>
      <c r="AM36" s="1175"/>
      <c r="AN36" s="1175"/>
      <c r="AO36" s="1175"/>
      <c r="AP36" s="1175"/>
      <c r="AQ36" s="1175"/>
      <c r="AR36" s="1175"/>
      <c r="AS36" s="1175"/>
      <c r="AT36" s="1175"/>
      <c r="AU36" s="1175"/>
      <c r="AV36" s="1175"/>
      <c r="AW36" s="1175"/>
      <c r="AX36" s="1175"/>
      <c r="AY36" s="1175"/>
      <c r="AZ36" s="1175"/>
      <c r="BA36" s="1175"/>
      <c r="BB36" s="1175"/>
      <c r="BC36" s="1175"/>
      <c r="BD36" s="1175"/>
      <c r="BE36" s="1175"/>
      <c r="BF36" s="1175"/>
      <c r="BG36" s="1175"/>
      <c r="BH36" s="1175"/>
      <c r="BI36" s="1175"/>
      <c r="BJ36" s="1175"/>
      <c r="BK36" s="1175"/>
      <c r="BL36" s="1175"/>
      <c r="BM36" s="1175"/>
      <c r="BN36" s="1175"/>
      <c r="BO36" s="1175"/>
      <c r="BP36" s="1175"/>
      <c r="BQ36" s="1175"/>
      <c r="BR36" s="1175"/>
      <c r="BS36" s="1175"/>
      <c r="BT36" s="1175"/>
      <c r="BU36" s="1175"/>
      <c r="BV36" s="1175"/>
      <c r="BW36" s="1175"/>
      <c r="BX36" s="1175"/>
      <c r="BY36" s="1175"/>
      <c r="BZ36" s="1175"/>
      <c r="CA36" s="1175"/>
      <c r="CB36" s="1175"/>
      <c r="CC36" s="1175"/>
      <c r="CD36" s="1175"/>
      <c r="CE36" s="1175"/>
      <c r="CF36" s="1175"/>
      <c r="CG36" s="1175"/>
      <c r="CH36" s="1175"/>
      <c r="CI36" s="1175"/>
      <c r="CJ36" s="1175"/>
      <c r="CK36" s="1175"/>
      <c r="CL36" s="1175"/>
      <c r="CM36" s="1175"/>
      <c r="CN36" s="1175"/>
      <c r="CO36" s="1175"/>
      <c r="CP36" s="1175"/>
      <c r="CQ36" s="1175"/>
      <c r="CR36" s="1175"/>
      <c r="CS36" s="1175"/>
      <c r="CT36" s="1175"/>
      <c r="CU36" s="1175"/>
      <c r="CV36" s="1175"/>
      <c r="CW36" s="1175"/>
      <c r="CX36" s="1175"/>
      <c r="CY36" s="1175"/>
      <c r="CZ36" s="1175"/>
      <c r="DA36" s="1175"/>
      <c r="DB36" s="1175"/>
      <c r="DC36" s="1175"/>
      <c r="DD36" s="1175"/>
      <c r="DE36" s="1175"/>
      <c r="DF36" s="1175"/>
      <c r="DG36" s="1175"/>
      <c r="DH36" s="1175"/>
      <c r="DI36" s="1175"/>
      <c r="DJ36" s="1174"/>
      <c r="DK36" s="1174"/>
      <c r="DL36" s="1174"/>
      <c r="DM36" s="1174"/>
      <c r="DN36" s="1174"/>
      <c r="DO36" s="1174"/>
      <c r="DP36" s="1174"/>
      <c r="DQ36" s="1174"/>
      <c r="DR36" s="1174"/>
      <c r="DS36" s="1174"/>
    </row>
    <row r="37" spans="1:123" ht="18" customHeight="1" x14ac:dyDescent="0.3">
      <c r="E37" s="1174"/>
      <c r="F37" s="1174"/>
      <c r="G37" s="1174"/>
      <c r="H37" s="1174"/>
      <c r="I37" s="1174"/>
      <c r="J37" s="1175"/>
      <c r="K37" s="1175"/>
      <c r="L37" s="1175"/>
      <c r="M37" s="1175"/>
      <c r="N37" s="1175"/>
      <c r="O37" s="1175"/>
      <c r="P37" s="1175"/>
      <c r="Q37" s="1175"/>
      <c r="R37" s="1175"/>
      <c r="S37" s="1175"/>
      <c r="T37" s="1175"/>
      <c r="U37" s="1175"/>
      <c r="V37" s="1175"/>
      <c r="W37" s="1175"/>
      <c r="X37" s="1175"/>
      <c r="Y37" s="1175"/>
      <c r="Z37" s="1175"/>
      <c r="AA37" s="1175"/>
      <c r="AB37" s="1175"/>
      <c r="AC37" s="1175"/>
      <c r="AD37" s="1175"/>
      <c r="AE37" s="1175"/>
      <c r="AF37" s="1175"/>
      <c r="AG37" s="1175"/>
      <c r="AH37" s="1175"/>
      <c r="AI37" s="1175"/>
      <c r="AJ37" s="1175"/>
      <c r="AK37" s="1175"/>
      <c r="AL37" s="1175"/>
      <c r="AM37" s="1175"/>
      <c r="AN37" s="1175"/>
      <c r="AO37" s="1175"/>
      <c r="AP37" s="1175"/>
      <c r="AQ37" s="1175"/>
      <c r="AR37" s="1175"/>
      <c r="AS37" s="1175"/>
      <c r="AT37" s="1175"/>
      <c r="AU37" s="1175"/>
      <c r="AV37" s="1175"/>
      <c r="AW37" s="1175"/>
      <c r="AX37" s="1175"/>
      <c r="AY37" s="1175"/>
      <c r="AZ37" s="1175"/>
      <c r="BA37" s="1175"/>
      <c r="BB37" s="1175"/>
      <c r="BC37" s="1175"/>
      <c r="BD37" s="1175"/>
      <c r="BE37" s="1175"/>
      <c r="BF37" s="1175"/>
      <c r="BG37" s="1175"/>
      <c r="BH37" s="1175"/>
      <c r="BI37" s="1175"/>
      <c r="BJ37" s="1175"/>
      <c r="BK37" s="1175"/>
      <c r="BL37" s="1175"/>
      <c r="BM37" s="1175"/>
      <c r="BN37" s="1175"/>
      <c r="BO37" s="1175"/>
      <c r="BP37" s="1175"/>
      <c r="BQ37" s="1175"/>
      <c r="BR37" s="1175"/>
      <c r="BS37" s="1175"/>
      <c r="BT37" s="1175"/>
      <c r="BU37" s="1175"/>
      <c r="BV37" s="1175"/>
      <c r="BW37" s="1175"/>
      <c r="BX37" s="1175"/>
      <c r="BY37" s="1175"/>
      <c r="BZ37" s="1175"/>
      <c r="CA37" s="1175"/>
      <c r="CB37" s="1175"/>
      <c r="CC37" s="1175"/>
      <c r="CD37" s="1175"/>
      <c r="CE37" s="1175"/>
      <c r="CF37" s="1175"/>
      <c r="CG37" s="1175"/>
      <c r="CH37" s="1175"/>
      <c r="CI37" s="1175"/>
      <c r="CJ37" s="1175"/>
      <c r="CK37" s="1175"/>
      <c r="CL37" s="1175"/>
      <c r="CM37" s="1175"/>
      <c r="CN37" s="1175"/>
      <c r="CO37" s="1175"/>
      <c r="CP37" s="1175"/>
      <c r="CQ37" s="1175"/>
      <c r="CR37" s="1175"/>
      <c r="CS37" s="1175"/>
      <c r="CT37" s="1175"/>
      <c r="CU37" s="1175"/>
      <c r="CV37" s="1175"/>
      <c r="CW37" s="1175"/>
      <c r="CX37" s="1175"/>
      <c r="CY37" s="1175"/>
      <c r="CZ37" s="1175"/>
      <c r="DA37" s="1175"/>
      <c r="DB37" s="1175"/>
      <c r="DC37" s="1175"/>
      <c r="DD37" s="1175"/>
      <c r="DE37" s="1175"/>
      <c r="DF37" s="1175"/>
      <c r="DG37" s="1175"/>
      <c r="DH37" s="1175"/>
      <c r="DI37" s="1175"/>
      <c r="DJ37" s="1174"/>
      <c r="DK37" s="1174"/>
      <c r="DL37" s="1174"/>
      <c r="DM37" s="1174"/>
      <c r="DN37" s="1174"/>
      <c r="DO37" s="1174"/>
      <c r="DP37" s="1174"/>
      <c r="DQ37" s="1174"/>
      <c r="DR37" s="1174"/>
      <c r="DS37" s="1174"/>
    </row>
    <row r="38" spans="1:123" ht="18" customHeight="1" x14ac:dyDescent="0.3">
      <c r="E38" s="1174"/>
      <c r="F38" s="1174"/>
      <c r="G38" s="1174"/>
      <c r="H38" s="1174"/>
      <c r="I38" s="1174"/>
      <c r="J38" s="1175"/>
      <c r="K38" s="1175"/>
      <c r="L38" s="1175"/>
      <c r="M38" s="1175"/>
      <c r="N38" s="1175"/>
      <c r="O38" s="1175"/>
      <c r="P38" s="1175"/>
      <c r="Q38" s="1175"/>
      <c r="R38" s="1175"/>
      <c r="S38" s="1175"/>
      <c r="T38" s="1175"/>
      <c r="U38" s="1175"/>
      <c r="V38" s="1175"/>
      <c r="W38" s="1175"/>
      <c r="X38" s="1175"/>
      <c r="Y38" s="1175"/>
      <c r="Z38" s="1175"/>
      <c r="AA38" s="1175"/>
      <c r="AB38" s="1175"/>
      <c r="AC38" s="1175"/>
      <c r="AD38" s="1175"/>
      <c r="AE38" s="1175"/>
      <c r="AF38" s="1175"/>
      <c r="AG38" s="1175"/>
      <c r="AH38" s="1175"/>
      <c r="AI38" s="1175"/>
      <c r="AJ38" s="1175"/>
      <c r="AK38" s="1175"/>
      <c r="AL38" s="1175"/>
      <c r="AM38" s="1175"/>
      <c r="AN38" s="1175"/>
      <c r="AO38" s="1175"/>
      <c r="AP38" s="1175"/>
      <c r="AQ38" s="1175"/>
      <c r="AR38" s="1175"/>
      <c r="AS38" s="1175"/>
      <c r="AT38" s="1175"/>
      <c r="AU38" s="1175"/>
      <c r="AV38" s="1175"/>
      <c r="AW38" s="1175"/>
      <c r="AX38" s="1175"/>
      <c r="AY38" s="1175"/>
      <c r="AZ38" s="1175"/>
      <c r="BA38" s="1175"/>
      <c r="BB38" s="1175"/>
      <c r="BC38" s="1175"/>
      <c r="BD38" s="1175"/>
      <c r="BE38" s="1175"/>
      <c r="BF38" s="1175"/>
      <c r="BG38" s="1175"/>
      <c r="BH38" s="1175"/>
      <c r="BI38" s="1175"/>
      <c r="BJ38" s="1175"/>
      <c r="BK38" s="1175"/>
      <c r="BL38" s="1175"/>
      <c r="BM38" s="1175"/>
      <c r="BN38" s="1175"/>
      <c r="BO38" s="1175"/>
      <c r="BP38" s="1175"/>
      <c r="BQ38" s="1175"/>
      <c r="BR38" s="1175"/>
      <c r="BS38" s="1175"/>
      <c r="BT38" s="1175"/>
      <c r="BU38" s="1175"/>
      <c r="BV38" s="1175"/>
      <c r="BW38" s="1175"/>
      <c r="BX38" s="1175"/>
      <c r="BY38" s="1175"/>
      <c r="BZ38" s="1175"/>
      <c r="CA38" s="1175"/>
      <c r="CB38" s="1175"/>
      <c r="CC38" s="1175"/>
      <c r="CD38" s="1175"/>
      <c r="CE38" s="1175"/>
      <c r="CF38" s="1175"/>
      <c r="CG38" s="1175"/>
      <c r="CH38" s="1175"/>
      <c r="CI38" s="1175"/>
      <c r="CJ38" s="1175"/>
      <c r="CK38" s="1175"/>
      <c r="CL38" s="1175"/>
      <c r="CM38" s="1175"/>
      <c r="CN38" s="1175"/>
      <c r="CO38" s="1175"/>
      <c r="CP38" s="1175"/>
      <c r="CQ38" s="1175"/>
      <c r="CR38" s="1175"/>
      <c r="CS38" s="1175"/>
      <c r="CT38" s="1175"/>
      <c r="CU38" s="1175"/>
      <c r="CV38" s="1175"/>
      <c r="CW38" s="1175"/>
      <c r="CX38" s="1175"/>
      <c r="CY38" s="1175"/>
      <c r="CZ38" s="1175"/>
      <c r="DA38" s="1175"/>
      <c r="DB38" s="1175"/>
      <c r="DC38" s="1175"/>
      <c r="DD38" s="1175"/>
      <c r="DE38" s="1175"/>
      <c r="DF38" s="1175"/>
      <c r="DG38" s="1175"/>
      <c r="DH38" s="1175"/>
      <c r="DI38" s="1175"/>
      <c r="DJ38" s="1174"/>
      <c r="DK38" s="1174"/>
      <c r="DL38" s="1174"/>
      <c r="DM38" s="1174"/>
      <c r="DN38" s="1174"/>
      <c r="DO38" s="1174"/>
      <c r="DP38" s="1174"/>
      <c r="DQ38" s="1174"/>
      <c r="DR38" s="1174"/>
      <c r="DS38" s="1174"/>
    </row>
    <row r="39" spans="1:123" s="1187" customFormat="1" ht="18" customHeight="1" x14ac:dyDescent="0.3">
      <c r="A39" s="1172"/>
      <c r="B39" s="1172"/>
      <c r="C39" s="1172"/>
      <c r="D39" s="1172"/>
      <c r="E39" s="1174"/>
      <c r="F39" s="1174"/>
      <c r="G39" s="1174"/>
      <c r="H39" s="1174"/>
      <c r="I39" s="1174"/>
      <c r="J39" s="1175"/>
      <c r="K39" s="1175"/>
      <c r="L39" s="1175"/>
      <c r="M39" s="1175"/>
      <c r="N39" s="1175"/>
      <c r="O39" s="1175"/>
      <c r="P39" s="1175"/>
      <c r="Q39" s="1175"/>
      <c r="R39" s="1175"/>
      <c r="S39" s="1175"/>
      <c r="T39" s="1175"/>
      <c r="U39" s="1175"/>
      <c r="V39" s="1175"/>
      <c r="W39" s="1175"/>
      <c r="X39" s="1175"/>
      <c r="Y39" s="1175"/>
      <c r="Z39" s="1175"/>
      <c r="AA39" s="1175"/>
      <c r="AB39" s="1175"/>
      <c r="AC39" s="1175"/>
      <c r="AD39" s="1175"/>
      <c r="AE39" s="1175"/>
      <c r="AF39" s="1175"/>
      <c r="AG39" s="1175"/>
      <c r="AH39" s="1175"/>
      <c r="AI39" s="1175"/>
      <c r="AJ39" s="1175"/>
      <c r="AK39" s="1175"/>
      <c r="AL39" s="1175"/>
      <c r="AM39" s="1175"/>
      <c r="AN39" s="1175"/>
      <c r="AO39" s="1175"/>
      <c r="AP39" s="1175"/>
      <c r="AQ39" s="1175"/>
      <c r="AR39" s="1175"/>
      <c r="AS39" s="1175"/>
      <c r="AT39" s="1175"/>
      <c r="AU39" s="1175"/>
      <c r="AV39" s="1175"/>
      <c r="AW39" s="1175"/>
      <c r="AX39" s="1175"/>
      <c r="AY39" s="1175"/>
      <c r="AZ39" s="1175"/>
      <c r="BA39" s="1175"/>
      <c r="BB39" s="1175"/>
      <c r="BC39" s="1175"/>
      <c r="BD39" s="1175"/>
      <c r="BE39" s="1175"/>
      <c r="BF39" s="1175"/>
      <c r="BG39" s="1175"/>
      <c r="BH39" s="1175"/>
      <c r="BI39" s="1175"/>
      <c r="BJ39" s="1175"/>
      <c r="BK39" s="1175"/>
      <c r="BL39" s="1175"/>
      <c r="BM39" s="1175"/>
      <c r="BN39" s="1175"/>
      <c r="BO39" s="1175"/>
      <c r="BP39" s="1175"/>
      <c r="BQ39" s="1175"/>
      <c r="BR39" s="1175"/>
      <c r="BS39" s="1175"/>
      <c r="BT39" s="1175"/>
      <c r="BU39" s="1175"/>
      <c r="BV39" s="1175"/>
      <c r="BW39" s="1175"/>
      <c r="BX39" s="1175"/>
      <c r="BY39" s="1175"/>
      <c r="BZ39" s="1175"/>
      <c r="CA39" s="1175"/>
      <c r="CB39" s="1175"/>
      <c r="CC39" s="1175"/>
      <c r="CD39" s="1175"/>
      <c r="CE39" s="1175"/>
      <c r="CF39" s="1175"/>
      <c r="CG39" s="1175"/>
      <c r="CH39" s="1175"/>
      <c r="CI39" s="1175"/>
      <c r="CJ39" s="1175"/>
      <c r="CK39" s="1175"/>
      <c r="CL39" s="1175"/>
      <c r="CM39" s="1175"/>
      <c r="CN39" s="1175"/>
      <c r="CO39" s="1175"/>
      <c r="CP39" s="1175"/>
      <c r="CQ39" s="1175"/>
      <c r="CR39" s="1175"/>
      <c r="CS39" s="1175"/>
      <c r="CT39" s="1175"/>
      <c r="CU39" s="1175"/>
      <c r="CV39" s="1175"/>
      <c r="CW39" s="1175"/>
      <c r="CX39" s="1175"/>
      <c r="CY39" s="1175"/>
      <c r="CZ39" s="1175"/>
      <c r="DA39" s="1175"/>
      <c r="DB39" s="1175"/>
      <c r="DC39" s="1175"/>
      <c r="DD39" s="1175"/>
      <c r="DE39" s="1175"/>
      <c r="DF39" s="1175"/>
      <c r="DG39" s="1175"/>
      <c r="DH39" s="1175"/>
      <c r="DI39" s="1175"/>
      <c r="DJ39" s="1175"/>
      <c r="DK39" s="1175"/>
      <c r="DL39" s="1175"/>
      <c r="DM39" s="1175"/>
      <c r="DN39" s="1175"/>
      <c r="DO39" s="1175"/>
      <c r="DP39" s="1175"/>
      <c r="DQ39" s="1175"/>
      <c r="DR39" s="1175"/>
      <c r="DS39" s="1175"/>
    </row>
    <row r="40" spans="1:123" s="1187" customFormat="1" ht="18" customHeight="1" x14ac:dyDescent="0.3">
      <c r="A40" s="1172"/>
      <c r="B40" s="1172"/>
      <c r="C40" s="1172"/>
      <c r="D40" s="1172"/>
      <c r="E40" s="1174"/>
      <c r="F40" s="1174"/>
      <c r="G40" s="1174"/>
      <c r="H40" s="1174"/>
      <c r="I40" s="1174"/>
      <c r="J40" s="1175"/>
      <c r="K40" s="1175"/>
      <c r="L40" s="1175"/>
      <c r="M40" s="1175"/>
      <c r="N40" s="1175"/>
      <c r="O40" s="1175"/>
      <c r="P40" s="1175"/>
      <c r="Q40" s="1175"/>
      <c r="R40" s="1175"/>
      <c r="S40" s="1175"/>
      <c r="T40" s="1175"/>
      <c r="U40" s="1175"/>
      <c r="V40" s="1175"/>
      <c r="W40" s="1175"/>
      <c r="X40" s="1175"/>
      <c r="Y40" s="1175"/>
      <c r="Z40" s="1175"/>
      <c r="AA40" s="1175"/>
      <c r="AB40" s="1175"/>
      <c r="AC40" s="1175"/>
      <c r="AD40" s="1175"/>
      <c r="AE40" s="1175"/>
      <c r="AF40" s="1175"/>
      <c r="AG40" s="1175"/>
      <c r="AH40" s="1175"/>
      <c r="AI40" s="1175"/>
      <c r="AJ40" s="1175"/>
      <c r="AK40" s="1175"/>
      <c r="AL40" s="1175"/>
      <c r="AM40" s="1175"/>
      <c r="AN40" s="1175"/>
      <c r="AO40" s="1175"/>
      <c r="AP40" s="1175"/>
      <c r="AQ40" s="1175"/>
      <c r="AR40" s="1175"/>
      <c r="AS40" s="1175"/>
      <c r="AT40" s="1175"/>
      <c r="AU40" s="1175"/>
      <c r="AV40" s="1175"/>
      <c r="AW40" s="1175"/>
      <c r="AX40" s="1175"/>
      <c r="AY40" s="1175"/>
      <c r="AZ40" s="1175"/>
      <c r="BA40" s="1175"/>
      <c r="BB40" s="1175"/>
      <c r="BC40" s="1175"/>
      <c r="BD40" s="1175"/>
      <c r="BE40" s="1175"/>
      <c r="BF40" s="1175"/>
      <c r="BG40" s="1175"/>
      <c r="BH40" s="1175"/>
      <c r="BI40" s="1175"/>
      <c r="BJ40" s="1175"/>
      <c r="BK40" s="1175"/>
      <c r="BL40" s="1175"/>
      <c r="BM40" s="1175"/>
      <c r="BN40" s="1175"/>
      <c r="BO40" s="1175"/>
      <c r="BP40" s="1175"/>
      <c r="BQ40" s="1175"/>
      <c r="BR40" s="1175"/>
      <c r="BS40" s="1175"/>
      <c r="BT40" s="1175"/>
      <c r="BU40" s="1175"/>
      <c r="BV40" s="1175"/>
      <c r="BW40" s="1175"/>
      <c r="BX40" s="1175"/>
      <c r="BY40" s="1175"/>
      <c r="BZ40" s="1175"/>
      <c r="CA40" s="1175"/>
      <c r="CB40" s="1175"/>
      <c r="CC40" s="1175"/>
      <c r="CD40" s="1175"/>
      <c r="CE40" s="1175"/>
      <c r="CF40" s="1175"/>
      <c r="CG40" s="1175"/>
      <c r="CH40" s="1175"/>
      <c r="CI40" s="1175"/>
      <c r="CJ40" s="1175"/>
      <c r="CK40" s="1175"/>
      <c r="CL40" s="1175"/>
      <c r="CM40" s="1175"/>
      <c r="CN40" s="1175"/>
      <c r="CO40" s="1175"/>
      <c r="CP40" s="1175"/>
      <c r="CQ40" s="1175"/>
      <c r="CR40" s="1175"/>
      <c r="CS40" s="1175"/>
      <c r="CT40" s="1175"/>
      <c r="CU40" s="1175"/>
      <c r="CV40" s="1175"/>
      <c r="CW40" s="1175"/>
      <c r="CX40" s="1175"/>
      <c r="CY40" s="1175"/>
      <c r="CZ40" s="1175"/>
      <c r="DA40" s="1175"/>
      <c r="DB40" s="1175"/>
      <c r="DC40" s="1175"/>
      <c r="DD40" s="1175"/>
      <c r="DE40" s="1175"/>
      <c r="DF40" s="1175"/>
      <c r="DG40" s="1175"/>
      <c r="DH40" s="1175"/>
      <c r="DI40" s="1175"/>
      <c r="DJ40" s="1175"/>
      <c r="DK40" s="1175"/>
      <c r="DL40" s="1175"/>
      <c r="DM40" s="1175"/>
      <c r="DN40" s="1175"/>
      <c r="DO40" s="1175"/>
      <c r="DP40" s="1175"/>
      <c r="DQ40" s="1175"/>
      <c r="DR40" s="1175"/>
      <c r="DS40" s="1175"/>
    </row>
    <row r="41" spans="1:123" s="1187" customFormat="1" ht="18" customHeight="1" x14ac:dyDescent="0.3">
      <c r="A41" s="1172"/>
      <c r="B41" s="1172"/>
      <c r="C41" s="1172"/>
      <c r="D41" s="1172"/>
      <c r="E41" s="1174"/>
      <c r="F41" s="1174"/>
      <c r="G41" s="1174"/>
      <c r="H41" s="1174"/>
      <c r="I41" s="1174"/>
      <c r="J41" s="1175"/>
      <c r="K41" s="1175"/>
      <c r="L41" s="1175"/>
      <c r="M41" s="1175"/>
      <c r="N41" s="1175"/>
      <c r="O41" s="1175"/>
      <c r="P41" s="1175"/>
      <c r="Q41" s="1175"/>
      <c r="R41" s="1175"/>
      <c r="S41" s="1175"/>
      <c r="T41" s="1175"/>
      <c r="U41" s="1175"/>
      <c r="V41" s="1175"/>
      <c r="W41" s="1175"/>
      <c r="X41" s="1175"/>
      <c r="Y41" s="1175"/>
      <c r="Z41" s="1175"/>
      <c r="AA41" s="1175"/>
      <c r="AB41" s="1175"/>
      <c r="AC41" s="1175"/>
      <c r="AD41" s="1175"/>
      <c r="AE41" s="1175"/>
      <c r="AF41" s="1175"/>
      <c r="AG41" s="1175"/>
      <c r="AH41" s="1175"/>
      <c r="AI41" s="1175"/>
      <c r="AJ41" s="1175"/>
      <c r="AK41" s="1175"/>
      <c r="AL41" s="1175"/>
      <c r="AM41" s="1175"/>
      <c r="AN41" s="1175"/>
      <c r="AO41" s="1175"/>
      <c r="AP41" s="1175"/>
      <c r="AQ41" s="1175"/>
      <c r="AR41" s="1175"/>
      <c r="AS41" s="1175"/>
      <c r="AT41" s="1175"/>
      <c r="AU41" s="1175"/>
      <c r="AV41" s="1175"/>
      <c r="AW41" s="1175"/>
      <c r="AX41" s="1175"/>
      <c r="AY41" s="1175"/>
      <c r="AZ41" s="1175"/>
      <c r="BA41" s="1175"/>
      <c r="BB41" s="1175"/>
      <c r="BC41" s="1175"/>
      <c r="BD41" s="1175"/>
      <c r="BE41" s="1175"/>
      <c r="BF41" s="1175"/>
      <c r="BG41" s="1175"/>
      <c r="BH41" s="1175"/>
      <c r="BI41" s="1175"/>
      <c r="BJ41" s="1175"/>
      <c r="BK41" s="1175"/>
      <c r="BL41" s="1175"/>
      <c r="BM41" s="1175"/>
      <c r="BN41" s="1175"/>
      <c r="BO41" s="1175"/>
      <c r="BP41" s="1175"/>
      <c r="BQ41" s="1175"/>
      <c r="BR41" s="1175"/>
      <c r="BS41" s="1175"/>
      <c r="BT41" s="1175"/>
      <c r="BU41" s="1175"/>
      <c r="BV41" s="1175"/>
      <c r="BW41" s="1175"/>
      <c r="BX41" s="1175"/>
      <c r="BY41" s="1175"/>
      <c r="BZ41" s="1175"/>
      <c r="CA41" s="1175"/>
      <c r="CB41" s="1175"/>
      <c r="CC41" s="1175"/>
      <c r="CD41" s="1175"/>
      <c r="CE41" s="1175"/>
      <c r="CF41" s="1175"/>
      <c r="CG41" s="1175"/>
      <c r="CH41" s="1175"/>
      <c r="CI41" s="1175"/>
      <c r="CJ41" s="1175"/>
      <c r="CK41" s="1175"/>
      <c r="CL41" s="1175"/>
      <c r="CM41" s="1175"/>
      <c r="CN41" s="1175"/>
      <c r="CO41" s="1175"/>
      <c r="CP41" s="1175"/>
      <c r="CQ41" s="1175"/>
      <c r="CR41" s="1175"/>
      <c r="CS41" s="1175"/>
      <c r="CT41" s="1175"/>
      <c r="CU41" s="1175"/>
      <c r="CV41" s="1175"/>
      <c r="CW41" s="1175"/>
      <c r="CX41" s="1175"/>
      <c r="CY41" s="1175"/>
      <c r="CZ41" s="1175"/>
      <c r="DA41" s="1175"/>
      <c r="DB41" s="1175"/>
      <c r="DC41" s="1175"/>
      <c r="DD41" s="1175"/>
      <c r="DE41" s="1175"/>
      <c r="DF41" s="1175"/>
      <c r="DG41" s="1175"/>
      <c r="DH41" s="1175"/>
      <c r="DI41" s="1175"/>
      <c r="DJ41" s="1175"/>
      <c r="DK41" s="1175"/>
      <c r="DL41" s="1175"/>
      <c r="DM41" s="1175"/>
      <c r="DN41" s="1175"/>
      <c r="DO41" s="1175"/>
      <c r="DP41" s="1175"/>
      <c r="DQ41" s="1175"/>
      <c r="DR41" s="1175"/>
      <c r="DS41" s="1175"/>
    </row>
    <row r="42" spans="1:123" s="1187" customFormat="1" ht="18" customHeight="1" x14ac:dyDescent="0.3">
      <c r="A42" s="1172"/>
      <c r="B42" s="1172"/>
      <c r="C42" s="1172"/>
      <c r="D42" s="1172"/>
      <c r="E42" s="1174"/>
      <c r="F42" s="1174"/>
      <c r="G42" s="1174"/>
      <c r="H42" s="1174"/>
      <c r="I42" s="1174"/>
      <c r="J42" s="1175"/>
      <c r="K42" s="1175"/>
      <c r="L42" s="1175"/>
      <c r="M42" s="1175"/>
      <c r="N42" s="1175"/>
      <c r="O42" s="1175"/>
      <c r="P42" s="1175"/>
      <c r="Q42" s="1175"/>
      <c r="R42" s="1175"/>
      <c r="S42" s="1175"/>
      <c r="T42" s="1175"/>
      <c r="U42" s="1175"/>
      <c r="V42" s="1175"/>
      <c r="W42" s="1175"/>
      <c r="X42" s="1175"/>
      <c r="Y42" s="1175"/>
      <c r="Z42" s="1175"/>
      <c r="AA42" s="1175"/>
      <c r="AB42" s="1175"/>
      <c r="AC42" s="1175"/>
      <c r="AD42" s="1175"/>
      <c r="AE42" s="1175"/>
      <c r="AF42" s="1175"/>
      <c r="AG42" s="1175"/>
      <c r="AH42" s="1175"/>
      <c r="AI42" s="1175"/>
      <c r="AJ42" s="1175"/>
      <c r="AK42" s="1175"/>
      <c r="AL42" s="1175"/>
      <c r="AM42" s="1175"/>
      <c r="AN42" s="1175"/>
      <c r="AO42" s="1175"/>
      <c r="AP42" s="1175"/>
      <c r="AQ42" s="1175"/>
      <c r="AR42" s="1175"/>
      <c r="AS42" s="1175"/>
      <c r="AT42" s="1175"/>
      <c r="AU42" s="1175"/>
      <c r="AV42" s="1175"/>
      <c r="AW42" s="1175"/>
      <c r="AX42" s="1175"/>
      <c r="AY42" s="1175"/>
      <c r="AZ42" s="1175"/>
      <c r="BA42" s="1175"/>
      <c r="BB42" s="1175"/>
      <c r="BC42" s="1175"/>
      <c r="BD42" s="1175"/>
      <c r="BE42" s="1175"/>
      <c r="BF42" s="1175"/>
      <c r="BG42" s="1175"/>
      <c r="BH42" s="1175"/>
      <c r="BI42" s="1175"/>
      <c r="BJ42" s="1175"/>
      <c r="BK42" s="1175"/>
      <c r="BL42" s="1175"/>
      <c r="BM42" s="1175"/>
      <c r="BN42" s="1175"/>
      <c r="BO42" s="1175"/>
      <c r="BP42" s="1175"/>
      <c r="BQ42" s="1175"/>
      <c r="BR42" s="1175"/>
      <c r="BS42" s="1175"/>
      <c r="BT42" s="1175"/>
      <c r="BU42" s="1175"/>
      <c r="BV42" s="1175"/>
      <c r="BW42" s="1175"/>
      <c r="BX42" s="1175"/>
      <c r="BY42" s="1175"/>
      <c r="BZ42" s="1175"/>
      <c r="CA42" s="1175"/>
      <c r="CB42" s="1175"/>
      <c r="CC42" s="1175"/>
      <c r="CD42" s="1175"/>
      <c r="CE42" s="1175"/>
      <c r="CF42" s="1175"/>
      <c r="CG42" s="1175"/>
      <c r="CH42" s="1175"/>
      <c r="CI42" s="1175"/>
      <c r="CJ42" s="1175"/>
      <c r="CK42" s="1175"/>
      <c r="CL42" s="1175"/>
      <c r="CM42" s="1175"/>
      <c r="CN42" s="1175"/>
      <c r="CO42" s="1175"/>
      <c r="CP42" s="1175"/>
      <c r="CQ42" s="1175"/>
      <c r="CR42" s="1175"/>
      <c r="CS42" s="1175"/>
      <c r="CT42" s="1175"/>
      <c r="CU42" s="1175"/>
      <c r="CV42" s="1175"/>
      <c r="CW42" s="1175"/>
      <c r="CX42" s="1175"/>
      <c r="CY42" s="1175"/>
      <c r="CZ42" s="1175"/>
      <c r="DA42" s="1175"/>
      <c r="DB42" s="1175"/>
      <c r="DC42" s="1175"/>
      <c r="DD42" s="1175"/>
      <c r="DE42" s="1175"/>
      <c r="DF42" s="1175"/>
      <c r="DG42" s="1175"/>
      <c r="DH42" s="1175"/>
      <c r="DI42" s="1175"/>
      <c r="DJ42" s="1175"/>
      <c r="DK42" s="1175"/>
      <c r="DL42" s="1175"/>
      <c r="DM42" s="1175"/>
      <c r="DN42" s="1175"/>
      <c r="DO42" s="1175"/>
      <c r="DP42" s="1175"/>
      <c r="DQ42" s="1175"/>
      <c r="DR42" s="1175"/>
      <c r="DS42" s="1175"/>
    </row>
    <row r="43" spans="1:123" s="1187" customFormat="1" ht="18" customHeight="1" x14ac:dyDescent="0.3">
      <c r="A43" s="1172"/>
      <c r="B43" s="1172"/>
      <c r="C43" s="1172"/>
      <c r="D43" s="1172"/>
      <c r="E43" s="1174"/>
      <c r="F43" s="1174"/>
      <c r="G43" s="1174"/>
      <c r="H43" s="1174"/>
      <c r="I43" s="1174"/>
      <c r="J43" s="1175"/>
      <c r="K43" s="1175"/>
      <c r="L43" s="1175"/>
      <c r="M43" s="1175"/>
      <c r="N43" s="1175"/>
      <c r="O43" s="1175"/>
      <c r="P43" s="1175"/>
      <c r="Q43" s="1175"/>
      <c r="R43" s="1175"/>
      <c r="S43" s="1175"/>
      <c r="T43" s="1175"/>
      <c r="U43" s="1175"/>
      <c r="V43" s="1175"/>
      <c r="W43" s="1175"/>
      <c r="X43" s="1175"/>
      <c r="Y43" s="1175"/>
      <c r="Z43" s="1175"/>
      <c r="AA43" s="1175"/>
      <c r="AB43" s="1175"/>
      <c r="AC43" s="1175"/>
      <c r="AD43" s="1175"/>
      <c r="AE43" s="1175"/>
      <c r="AF43" s="1175"/>
      <c r="AG43" s="1175"/>
      <c r="AH43" s="1175"/>
      <c r="AI43" s="1175"/>
      <c r="AJ43" s="1175"/>
      <c r="AK43" s="1175"/>
      <c r="AL43" s="1175"/>
      <c r="AM43" s="1175"/>
      <c r="AN43" s="1175"/>
      <c r="AO43" s="1175"/>
      <c r="AP43" s="1175"/>
      <c r="AQ43" s="1175"/>
      <c r="AR43" s="1175"/>
      <c r="AS43" s="1175"/>
      <c r="AT43" s="1175"/>
      <c r="AU43" s="1175"/>
      <c r="AV43" s="1175"/>
      <c r="AW43" s="1175"/>
      <c r="AX43" s="1175"/>
      <c r="AY43" s="1175"/>
      <c r="AZ43" s="1175"/>
      <c r="BA43" s="1175"/>
      <c r="BB43" s="1175"/>
      <c r="BC43" s="1175"/>
      <c r="BD43" s="1175"/>
      <c r="BE43" s="1175"/>
      <c r="BF43" s="1175"/>
      <c r="BG43" s="1175"/>
      <c r="BH43" s="1175"/>
      <c r="BI43" s="1175"/>
      <c r="BJ43" s="1175"/>
      <c r="BK43" s="1175"/>
      <c r="BL43" s="1175"/>
      <c r="BM43" s="1175"/>
      <c r="BN43" s="1175"/>
      <c r="BO43" s="1175"/>
      <c r="BP43" s="1175"/>
      <c r="BQ43" s="1175"/>
      <c r="BR43" s="1175"/>
      <c r="BS43" s="1175"/>
      <c r="BT43" s="1175"/>
      <c r="BU43" s="1175"/>
      <c r="BV43" s="1175"/>
      <c r="BW43" s="1175"/>
      <c r="BX43" s="1175"/>
      <c r="BY43" s="1175"/>
      <c r="BZ43" s="1175"/>
      <c r="CA43" s="1175"/>
      <c r="CB43" s="1175"/>
      <c r="CC43" s="1175"/>
      <c r="CD43" s="1175"/>
      <c r="CE43" s="1175"/>
      <c r="CF43" s="1175"/>
      <c r="CG43" s="1175"/>
      <c r="CH43" s="1175"/>
      <c r="CI43" s="1175"/>
      <c r="CJ43" s="1175"/>
      <c r="CK43" s="1175"/>
      <c r="CL43" s="1175"/>
      <c r="CM43" s="1175"/>
      <c r="CN43" s="1175"/>
      <c r="CO43" s="1175"/>
      <c r="CP43" s="1175"/>
      <c r="CQ43" s="1175"/>
      <c r="CR43" s="1175"/>
      <c r="CS43" s="1175"/>
      <c r="CT43" s="1175"/>
      <c r="CU43" s="1175"/>
      <c r="CV43" s="1175"/>
      <c r="CW43" s="1175"/>
      <c r="CX43" s="1175"/>
      <c r="CY43" s="1175"/>
      <c r="CZ43" s="1175"/>
      <c r="DA43" s="1175"/>
      <c r="DB43" s="1175"/>
      <c r="DC43" s="1175"/>
      <c r="DD43" s="1175"/>
      <c r="DE43" s="1175"/>
      <c r="DF43" s="1175"/>
      <c r="DG43" s="1175"/>
      <c r="DH43" s="1175"/>
      <c r="DI43" s="1175"/>
      <c r="DJ43" s="1175"/>
      <c r="DK43" s="1175"/>
      <c r="DL43" s="1175"/>
      <c r="DM43" s="1175"/>
      <c r="DN43" s="1175"/>
      <c r="DO43" s="1175"/>
      <c r="DP43" s="1175"/>
      <c r="DQ43" s="1175"/>
      <c r="DR43" s="1175"/>
      <c r="DS43" s="1175"/>
    </row>
    <row r="44" spans="1:123" s="1187" customFormat="1" ht="18" customHeight="1" x14ac:dyDescent="0.3">
      <c r="A44" s="1172"/>
      <c r="B44" s="1172"/>
      <c r="C44" s="1172"/>
      <c r="D44" s="1172"/>
      <c r="E44" s="1174"/>
      <c r="F44" s="1174"/>
      <c r="G44" s="1174"/>
      <c r="H44" s="1174"/>
      <c r="I44" s="1174"/>
      <c r="J44" s="1175"/>
      <c r="K44" s="1175"/>
      <c r="L44" s="1175"/>
      <c r="M44" s="1175"/>
      <c r="N44" s="1175"/>
      <c r="O44" s="1175"/>
      <c r="P44" s="1175"/>
      <c r="Q44" s="1175"/>
      <c r="R44" s="1175"/>
      <c r="S44" s="1175"/>
      <c r="T44" s="1175"/>
      <c r="U44" s="1175"/>
      <c r="V44" s="1175"/>
      <c r="W44" s="1175"/>
      <c r="X44" s="1175"/>
      <c r="Y44" s="1175"/>
      <c r="Z44" s="1175"/>
      <c r="AA44" s="1175"/>
      <c r="AB44" s="1175"/>
      <c r="AC44" s="1175"/>
      <c r="AD44" s="1175"/>
      <c r="AE44" s="1175"/>
      <c r="AF44" s="1175"/>
      <c r="AG44" s="1175"/>
      <c r="AH44" s="1175"/>
      <c r="AI44" s="1175"/>
      <c r="AJ44" s="1175"/>
      <c r="AK44" s="1175"/>
      <c r="AL44" s="1175"/>
      <c r="AM44" s="1175"/>
      <c r="AN44" s="1175"/>
      <c r="AO44" s="1175"/>
      <c r="AP44" s="1175"/>
      <c r="AQ44" s="1175"/>
      <c r="AR44" s="1175"/>
      <c r="AS44" s="1175"/>
      <c r="AT44" s="1175"/>
      <c r="AU44" s="1175"/>
      <c r="AV44" s="1175"/>
      <c r="AW44" s="1175"/>
      <c r="AX44" s="1175"/>
      <c r="AY44" s="1175"/>
      <c r="AZ44" s="1175"/>
      <c r="BA44" s="1175"/>
      <c r="BB44" s="1175"/>
      <c r="BC44" s="1175"/>
      <c r="BD44" s="1175"/>
      <c r="BE44" s="1175"/>
      <c r="BF44" s="1175"/>
      <c r="BG44" s="1175"/>
      <c r="BH44" s="1175"/>
      <c r="BI44" s="1175"/>
      <c r="BJ44" s="1175"/>
      <c r="BK44" s="1175"/>
      <c r="BL44" s="1175"/>
      <c r="BM44" s="1175"/>
      <c r="BN44" s="1175"/>
      <c r="BO44" s="1175"/>
      <c r="BP44" s="1175"/>
      <c r="BQ44" s="1175"/>
      <c r="BR44" s="1175"/>
      <c r="BS44" s="1175"/>
      <c r="BT44" s="1175"/>
      <c r="BU44" s="1175"/>
      <c r="BV44" s="1175"/>
      <c r="BW44" s="1175"/>
      <c r="BX44" s="1175"/>
      <c r="BY44" s="1175"/>
      <c r="BZ44" s="1175"/>
      <c r="CA44" s="1175"/>
      <c r="CB44" s="1175"/>
      <c r="CC44" s="1175"/>
      <c r="CD44" s="1175"/>
      <c r="CE44" s="1175"/>
      <c r="CF44" s="1175"/>
      <c r="CG44" s="1175"/>
      <c r="CH44" s="1175"/>
      <c r="CI44" s="1175"/>
      <c r="CJ44" s="1175"/>
      <c r="CK44" s="1175"/>
      <c r="CL44" s="1175"/>
      <c r="CM44" s="1175"/>
      <c r="CN44" s="1175"/>
      <c r="CO44" s="1175"/>
      <c r="CP44" s="1175"/>
      <c r="CQ44" s="1175"/>
      <c r="CR44" s="1175"/>
      <c r="CS44" s="1175"/>
      <c r="CT44" s="1175"/>
      <c r="CU44" s="1175"/>
      <c r="CV44" s="1175"/>
      <c r="CW44" s="1175"/>
      <c r="CX44" s="1175"/>
      <c r="CY44" s="1175"/>
      <c r="CZ44" s="1175"/>
      <c r="DA44" s="1175"/>
      <c r="DB44" s="1175"/>
      <c r="DC44" s="1175"/>
      <c r="DD44" s="1175"/>
      <c r="DE44" s="1175"/>
      <c r="DF44" s="1175"/>
      <c r="DG44" s="1175"/>
      <c r="DH44" s="1175"/>
      <c r="DI44" s="1175"/>
      <c r="DJ44" s="1175"/>
      <c r="DK44" s="1175"/>
      <c r="DL44" s="1175"/>
      <c r="DM44" s="1175"/>
      <c r="DN44" s="1175"/>
      <c r="DO44" s="1175"/>
      <c r="DP44" s="1175"/>
      <c r="DQ44" s="1175"/>
      <c r="DR44" s="1175"/>
      <c r="DS44" s="1175"/>
    </row>
    <row r="45" spans="1:123" s="1187" customFormat="1" ht="18" customHeight="1" x14ac:dyDescent="0.3">
      <c r="A45" s="1172"/>
      <c r="B45" s="1172"/>
      <c r="C45" s="1172"/>
      <c r="D45" s="1172"/>
      <c r="E45" s="1174"/>
      <c r="F45" s="1174"/>
      <c r="G45" s="1174"/>
      <c r="H45" s="1174"/>
      <c r="I45" s="1174"/>
      <c r="J45" s="1175"/>
      <c r="K45" s="1175"/>
      <c r="L45" s="1175"/>
      <c r="M45" s="1175"/>
      <c r="N45" s="1175"/>
      <c r="O45" s="1175"/>
      <c r="P45" s="1175"/>
      <c r="Q45" s="1175"/>
      <c r="R45" s="1175"/>
      <c r="S45" s="1175"/>
      <c r="T45" s="1175"/>
      <c r="U45" s="1175"/>
      <c r="V45" s="1175"/>
      <c r="W45" s="1175"/>
      <c r="X45" s="1175"/>
      <c r="Y45" s="1175"/>
      <c r="Z45" s="1175"/>
      <c r="AA45" s="1175"/>
      <c r="AB45" s="1175"/>
      <c r="AC45" s="1175"/>
      <c r="AD45" s="1175"/>
      <c r="AE45" s="1175"/>
      <c r="AF45" s="1175"/>
      <c r="AG45" s="1175"/>
      <c r="AH45" s="1175"/>
      <c r="AI45" s="1175"/>
      <c r="AJ45" s="1175"/>
      <c r="AK45" s="1175"/>
      <c r="AL45" s="1175"/>
      <c r="AM45" s="1175"/>
      <c r="AN45" s="1175"/>
      <c r="AO45" s="1175"/>
      <c r="AP45" s="1175"/>
      <c r="AQ45" s="1175"/>
      <c r="AR45" s="1175"/>
      <c r="AS45" s="1175"/>
      <c r="AT45" s="1175"/>
      <c r="AU45" s="1175"/>
      <c r="AV45" s="1175"/>
      <c r="AW45" s="1175"/>
      <c r="AX45" s="1175"/>
      <c r="AY45" s="1175"/>
      <c r="AZ45" s="1175"/>
      <c r="BA45" s="1175"/>
      <c r="BB45" s="1175"/>
      <c r="BC45" s="1175"/>
      <c r="BD45" s="1175"/>
      <c r="BE45" s="1175"/>
      <c r="BF45" s="1175"/>
      <c r="BG45" s="1175"/>
      <c r="BH45" s="1175"/>
      <c r="BI45" s="1175"/>
      <c r="BJ45" s="1175"/>
      <c r="BK45" s="1175"/>
      <c r="BL45" s="1175"/>
      <c r="BM45" s="1175"/>
      <c r="BN45" s="1175"/>
      <c r="BO45" s="1175"/>
      <c r="BP45" s="1175"/>
      <c r="BQ45" s="1175"/>
      <c r="BR45" s="1175"/>
      <c r="BS45" s="1175"/>
      <c r="BT45" s="1175"/>
      <c r="BU45" s="1175"/>
      <c r="BV45" s="1175"/>
      <c r="BW45" s="1175"/>
      <c r="BX45" s="1175"/>
      <c r="BY45" s="1175"/>
      <c r="BZ45" s="1175"/>
      <c r="CA45" s="1175"/>
      <c r="CB45" s="1175"/>
      <c r="CC45" s="1175"/>
      <c r="CD45" s="1175"/>
      <c r="CE45" s="1175"/>
      <c r="CF45" s="1175"/>
      <c r="CG45" s="1175"/>
      <c r="CH45" s="1175"/>
      <c r="CI45" s="1175"/>
      <c r="CJ45" s="1175"/>
      <c r="CK45" s="1175"/>
      <c r="CL45" s="1175"/>
      <c r="CM45" s="1175"/>
      <c r="CN45" s="1175"/>
      <c r="CO45" s="1175"/>
      <c r="CP45" s="1175"/>
      <c r="CQ45" s="1175"/>
      <c r="CR45" s="1175"/>
      <c r="CS45" s="1175"/>
      <c r="CT45" s="1175"/>
      <c r="CU45" s="1175"/>
      <c r="CV45" s="1175"/>
      <c r="CW45" s="1175"/>
      <c r="CX45" s="1175"/>
      <c r="CY45" s="1175"/>
      <c r="CZ45" s="1175"/>
      <c r="DA45" s="1175"/>
      <c r="DB45" s="1175"/>
      <c r="DC45" s="1175"/>
      <c r="DD45" s="1175"/>
      <c r="DE45" s="1175"/>
      <c r="DF45" s="1175"/>
      <c r="DG45" s="1175"/>
      <c r="DH45" s="1175"/>
      <c r="DI45" s="1175"/>
      <c r="DJ45" s="1175"/>
      <c r="DK45" s="1175"/>
      <c r="DL45" s="1175"/>
      <c r="DM45" s="1175"/>
      <c r="DN45" s="1175"/>
      <c r="DO45" s="1175"/>
      <c r="DP45" s="1175"/>
      <c r="DQ45" s="1175"/>
      <c r="DR45" s="1175"/>
      <c r="DS45" s="1175"/>
    </row>
    <row r="46" spans="1:123" s="1187" customFormat="1" ht="18" customHeight="1" x14ac:dyDescent="0.3">
      <c r="A46" s="1172"/>
      <c r="B46" s="1172"/>
      <c r="C46" s="1172"/>
      <c r="D46" s="1172"/>
      <c r="E46" s="1174"/>
      <c r="F46" s="1174"/>
      <c r="G46" s="1174"/>
      <c r="H46" s="1174"/>
      <c r="I46" s="1174"/>
      <c r="J46" s="1175"/>
      <c r="K46" s="1175"/>
      <c r="L46" s="1175"/>
      <c r="M46" s="1175"/>
      <c r="N46" s="1175"/>
      <c r="O46" s="1175"/>
      <c r="P46" s="1175"/>
      <c r="Q46" s="1175"/>
      <c r="R46" s="1175"/>
      <c r="S46" s="1175"/>
      <c r="T46" s="1175"/>
      <c r="U46" s="1175"/>
      <c r="V46" s="1175"/>
      <c r="W46" s="1175"/>
      <c r="X46" s="1175"/>
      <c r="Y46" s="1175"/>
      <c r="Z46" s="1175"/>
      <c r="AA46" s="1175"/>
      <c r="AB46" s="1175"/>
      <c r="AC46" s="1175"/>
      <c r="AD46" s="1175"/>
      <c r="AE46" s="1175"/>
      <c r="AF46" s="1175"/>
      <c r="AG46" s="1175"/>
      <c r="AH46" s="1175"/>
      <c r="AI46" s="1175"/>
      <c r="AJ46" s="1175"/>
      <c r="AK46" s="1175"/>
      <c r="AL46" s="1175"/>
      <c r="AM46" s="1175"/>
      <c r="AN46" s="1175"/>
      <c r="AO46" s="1175"/>
      <c r="AP46" s="1175"/>
      <c r="AQ46" s="1175"/>
      <c r="AR46" s="1175"/>
      <c r="AS46" s="1175"/>
      <c r="AT46" s="1175"/>
      <c r="AU46" s="1175"/>
      <c r="AV46" s="1175"/>
      <c r="AW46" s="1175"/>
      <c r="AX46" s="1175"/>
      <c r="AY46" s="1175"/>
      <c r="AZ46" s="1175"/>
      <c r="BA46" s="1175"/>
      <c r="BB46" s="1175"/>
      <c r="BC46" s="1175"/>
      <c r="BD46" s="1175"/>
      <c r="BE46" s="1175"/>
      <c r="BF46" s="1175"/>
      <c r="BG46" s="1175"/>
      <c r="BH46" s="1175"/>
      <c r="BI46" s="1175"/>
      <c r="BJ46" s="1175"/>
      <c r="BK46" s="1175"/>
      <c r="BL46" s="1175"/>
      <c r="BM46" s="1175"/>
      <c r="BN46" s="1175"/>
      <c r="BO46" s="1175"/>
      <c r="BP46" s="1175"/>
      <c r="BQ46" s="1175"/>
      <c r="BR46" s="1175"/>
      <c r="BS46" s="1175"/>
      <c r="BT46" s="1175"/>
      <c r="BU46" s="1175"/>
      <c r="BV46" s="1175"/>
      <c r="BW46" s="1175"/>
      <c r="BX46" s="1175"/>
      <c r="BY46" s="1175"/>
      <c r="BZ46" s="1175"/>
      <c r="CA46" s="1175"/>
      <c r="CB46" s="1175"/>
      <c r="CC46" s="1175"/>
      <c r="CD46" s="1175"/>
      <c r="CE46" s="1175"/>
      <c r="CF46" s="1175"/>
      <c r="CG46" s="1175"/>
      <c r="CH46" s="1175"/>
      <c r="CI46" s="1175"/>
      <c r="CJ46" s="1175"/>
      <c r="CK46" s="1175"/>
      <c r="CL46" s="1175"/>
      <c r="CM46" s="1175"/>
      <c r="CN46" s="1175"/>
      <c r="CO46" s="1175"/>
      <c r="CP46" s="1175"/>
      <c r="CQ46" s="1175"/>
      <c r="CR46" s="1175"/>
      <c r="CS46" s="1175"/>
      <c r="CT46" s="1175"/>
      <c r="CU46" s="1175"/>
      <c r="CV46" s="1175"/>
      <c r="CW46" s="1175"/>
      <c r="CX46" s="1175"/>
      <c r="CY46" s="1175"/>
      <c r="CZ46" s="1175"/>
      <c r="DA46" s="1175"/>
      <c r="DB46" s="1175"/>
      <c r="DC46" s="1175"/>
      <c r="DD46" s="1175"/>
      <c r="DE46" s="1175"/>
      <c r="DF46" s="1175"/>
      <c r="DG46" s="1175"/>
      <c r="DH46" s="1175"/>
      <c r="DI46" s="1175"/>
      <c r="DJ46" s="1175"/>
      <c r="DK46" s="1175"/>
      <c r="DL46" s="1175"/>
      <c r="DM46" s="1175"/>
      <c r="DN46" s="1175"/>
      <c r="DO46" s="1175"/>
      <c r="DP46" s="1175"/>
      <c r="DQ46" s="1175"/>
      <c r="DR46" s="1175"/>
      <c r="DS46" s="1175"/>
    </row>
    <row r="47" spans="1:123" s="1187" customFormat="1" ht="18" customHeight="1" x14ac:dyDescent="0.3">
      <c r="A47" s="1172"/>
      <c r="B47" s="1172"/>
      <c r="C47" s="1172"/>
      <c r="D47" s="1172"/>
      <c r="E47" s="1174"/>
      <c r="F47" s="1174"/>
      <c r="G47" s="1174"/>
      <c r="H47" s="1174"/>
      <c r="I47" s="1174"/>
      <c r="J47" s="1175"/>
      <c r="K47" s="1175"/>
      <c r="L47" s="1175"/>
      <c r="M47" s="1175"/>
      <c r="N47" s="1175"/>
      <c r="O47" s="1175"/>
      <c r="P47" s="1175"/>
      <c r="Q47" s="1175"/>
      <c r="R47" s="1175"/>
      <c r="S47" s="1175"/>
      <c r="T47" s="1175"/>
      <c r="U47" s="1175"/>
      <c r="V47" s="1175"/>
      <c r="W47" s="1175"/>
      <c r="X47" s="1175"/>
      <c r="Y47" s="1175"/>
      <c r="Z47" s="1175"/>
      <c r="AA47" s="1175"/>
      <c r="AB47" s="1175"/>
      <c r="AC47" s="1175"/>
      <c r="AD47" s="1175"/>
      <c r="AE47" s="1175"/>
      <c r="AF47" s="1175"/>
      <c r="AG47" s="1175"/>
      <c r="AH47" s="1175"/>
      <c r="AI47" s="1175"/>
      <c r="AJ47" s="1175"/>
      <c r="AK47" s="1175"/>
      <c r="AL47" s="1175"/>
      <c r="AM47" s="1175"/>
      <c r="AN47" s="1175"/>
      <c r="AO47" s="1175"/>
      <c r="AP47" s="1175"/>
      <c r="AQ47" s="1175"/>
      <c r="AR47" s="1175"/>
      <c r="AS47" s="1175"/>
      <c r="AT47" s="1175"/>
      <c r="AU47" s="1175"/>
      <c r="AV47" s="1175"/>
      <c r="AW47" s="1175"/>
      <c r="AX47" s="1175"/>
      <c r="AY47" s="1175"/>
      <c r="AZ47" s="1175"/>
      <c r="BA47" s="1175"/>
      <c r="BB47" s="1175"/>
      <c r="BC47" s="1175"/>
      <c r="BD47" s="1175"/>
      <c r="BE47" s="1175"/>
      <c r="BF47" s="1175"/>
      <c r="BG47" s="1175"/>
      <c r="BH47" s="1175"/>
      <c r="BI47" s="1175"/>
      <c r="BJ47" s="1175"/>
      <c r="BK47" s="1175"/>
      <c r="BL47" s="1175"/>
      <c r="BM47" s="1175"/>
      <c r="BN47" s="1175"/>
      <c r="BO47" s="1175"/>
      <c r="BP47" s="1175"/>
      <c r="BQ47" s="1175"/>
      <c r="BR47" s="1175"/>
      <c r="BS47" s="1175"/>
      <c r="BT47" s="1175"/>
      <c r="BU47" s="1175"/>
      <c r="BV47" s="1175"/>
      <c r="BW47" s="1175"/>
      <c r="BX47" s="1175"/>
      <c r="BY47" s="1175"/>
      <c r="BZ47" s="1175"/>
      <c r="CA47" s="1175"/>
      <c r="CB47" s="1175"/>
      <c r="CC47" s="1175"/>
      <c r="CD47" s="1175"/>
      <c r="CE47" s="1175"/>
      <c r="CF47" s="1175"/>
      <c r="CG47" s="1175"/>
      <c r="CH47" s="1175"/>
      <c r="CI47" s="1175"/>
      <c r="CJ47" s="1175"/>
      <c r="CK47" s="1175"/>
      <c r="CL47" s="1175"/>
      <c r="CM47" s="1175"/>
      <c r="CN47" s="1175"/>
      <c r="CO47" s="1175"/>
      <c r="CP47" s="1175"/>
      <c r="CQ47" s="1175"/>
      <c r="CR47" s="1175"/>
      <c r="CS47" s="1175"/>
      <c r="CT47" s="1175"/>
      <c r="CU47" s="1175"/>
      <c r="CV47" s="1175"/>
      <c r="CW47" s="1175"/>
      <c r="CX47" s="1175"/>
      <c r="CY47" s="1175"/>
      <c r="CZ47" s="1175"/>
      <c r="DA47" s="1175"/>
      <c r="DB47" s="1175"/>
      <c r="DC47" s="1175"/>
      <c r="DD47" s="1175"/>
      <c r="DE47" s="1175"/>
      <c r="DF47" s="1175"/>
      <c r="DG47" s="1175"/>
      <c r="DH47" s="1175"/>
      <c r="DI47" s="1175"/>
      <c r="DJ47" s="1175"/>
      <c r="DK47" s="1175"/>
      <c r="DL47" s="1175"/>
      <c r="DM47" s="1175"/>
      <c r="DN47" s="1175"/>
      <c r="DO47" s="1175"/>
      <c r="DP47" s="1175"/>
      <c r="DQ47" s="1175"/>
      <c r="DR47" s="1175"/>
      <c r="DS47" s="1175"/>
    </row>
    <row r="48" spans="1:123" s="1187" customFormat="1" ht="18" customHeight="1" x14ac:dyDescent="0.3">
      <c r="A48" s="1172"/>
      <c r="B48" s="1172"/>
      <c r="C48" s="1172"/>
      <c r="D48" s="1172"/>
      <c r="E48" s="1174"/>
      <c r="F48" s="1174"/>
      <c r="G48" s="1174"/>
      <c r="H48" s="1174"/>
      <c r="I48" s="1174"/>
      <c r="J48" s="1175"/>
      <c r="K48" s="1175"/>
      <c r="L48" s="1175"/>
      <c r="M48" s="1175"/>
      <c r="N48" s="1175"/>
      <c r="O48" s="1175"/>
      <c r="P48" s="1175"/>
      <c r="Q48" s="1175"/>
      <c r="R48" s="1175"/>
      <c r="S48" s="1175"/>
      <c r="T48" s="1175"/>
      <c r="U48" s="1175"/>
      <c r="V48" s="1175"/>
      <c r="W48" s="1175"/>
      <c r="X48" s="1175"/>
      <c r="Y48" s="1175"/>
      <c r="Z48" s="1175"/>
      <c r="AA48" s="1175"/>
      <c r="AB48" s="1175"/>
      <c r="AC48" s="1175"/>
      <c r="AD48" s="1175"/>
      <c r="AE48" s="1175"/>
      <c r="AF48" s="1175"/>
      <c r="AG48" s="1175"/>
      <c r="AH48" s="1175"/>
      <c r="AI48" s="1175"/>
      <c r="AJ48" s="1175"/>
      <c r="AK48" s="1175"/>
      <c r="AL48" s="1175"/>
      <c r="AM48" s="1175"/>
      <c r="AN48" s="1175"/>
      <c r="AO48" s="1175"/>
      <c r="AP48" s="1175"/>
      <c r="AQ48" s="1175"/>
      <c r="AR48" s="1175"/>
      <c r="AS48" s="1175"/>
      <c r="AT48" s="1175"/>
      <c r="AU48" s="1175"/>
      <c r="AV48" s="1175"/>
      <c r="AW48" s="1175"/>
      <c r="AX48" s="1175"/>
      <c r="AY48" s="1175"/>
      <c r="AZ48" s="1175"/>
      <c r="BA48" s="1175"/>
      <c r="BB48" s="1175"/>
      <c r="BC48" s="1175"/>
      <c r="BD48" s="1175"/>
      <c r="BE48" s="1175"/>
      <c r="BF48" s="1175"/>
      <c r="BG48" s="1175"/>
      <c r="BH48" s="1175"/>
      <c r="BI48" s="1175"/>
      <c r="BJ48" s="1175"/>
      <c r="BK48" s="1175"/>
      <c r="BL48" s="1175"/>
      <c r="BM48" s="1175"/>
      <c r="BN48" s="1175"/>
      <c r="BO48" s="1175"/>
      <c r="BP48" s="1175"/>
      <c r="BQ48" s="1175"/>
      <c r="BR48" s="1175"/>
      <c r="BS48" s="1175"/>
      <c r="BT48" s="1175"/>
      <c r="BU48" s="1175"/>
      <c r="BV48" s="1175"/>
      <c r="BW48" s="1175"/>
      <c r="BX48" s="1175"/>
      <c r="BY48" s="1175"/>
      <c r="BZ48" s="1175"/>
      <c r="CA48" s="1175"/>
      <c r="CB48" s="1175"/>
      <c r="CC48" s="1175"/>
      <c r="CD48" s="1175"/>
      <c r="CE48" s="1175"/>
      <c r="CF48" s="1175"/>
      <c r="CG48" s="1175"/>
      <c r="CH48" s="1175"/>
      <c r="CI48" s="1175"/>
      <c r="CJ48" s="1175"/>
      <c r="CK48" s="1175"/>
      <c r="CL48" s="1175"/>
      <c r="CM48" s="1175"/>
      <c r="CN48" s="1175"/>
      <c r="CO48" s="1175"/>
      <c r="CP48" s="1175"/>
      <c r="CQ48" s="1175"/>
      <c r="CR48" s="1175"/>
      <c r="CS48" s="1175"/>
      <c r="CT48" s="1175"/>
      <c r="CU48" s="1175"/>
      <c r="CV48" s="1175"/>
      <c r="CW48" s="1175"/>
      <c r="CX48" s="1175"/>
      <c r="CY48" s="1175"/>
      <c r="CZ48" s="1175"/>
      <c r="DA48" s="1175"/>
      <c r="DB48" s="1175"/>
      <c r="DC48" s="1175"/>
      <c r="DD48" s="1175"/>
      <c r="DE48" s="1175"/>
      <c r="DF48" s="1175"/>
      <c r="DG48" s="1175"/>
      <c r="DH48" s="1175"/>
      <c r="DI48" s="1175"/>
      <c r="DJ48" s="1175"/>
      <c r="DK48" s="1175"/>
      <c r="DL48" s="1175"/>
      <c r="DM48" s="1175"/>
      <c r="DN48" s="1175"/>
      <c r="DO48" s="1175"/>
      <c r="DP48" s="1175"/>
      <c r="DQ48" s="1175"/>
      <c r="DR48" s="1175"/>
      <c r="DS48" s="1175"/>
    </row>
    <row r="49" spans="1:123" s="1187" customFormat="1" ht="18" customHeight="1" x14ac:dyDescent="0.3">
      <c r="A49" s="1172"/>
      <c r="B49" s="1172"/>
      <c r="C49" s="1172"/>
      <c r="D49" s="1172"/>
      <c r="E49" s="1174"/>
      <c r="F49" s="1174"/>
      <c r="G49" s="1174"/>
      <c r="H49" s="1174"/>
      <c r="I49" s="1174"/>
      <c r="J49" s="1175"/>
      <c r="K49" s="1175"/>
      <c r="L49" s="1175"/>
      <c r="M49" s="1175"/>
      <c r="N49" s="1175"/>
      <c r="O49" s="1175"/>
      <c r="P49" s="1175"/>
      <c r="Q49" s="1175"/>
      <c r="R49" s="1175"/>
      <c r="S49" s="1175"/>
      <c r="T49" s="1175"/>
      <c r="U49" s="1175"/>
      <c r="V49" s="1175"/>
      <c r="W49" s="1175"/>
      <c r="X49" s="1175"/>
      <c r="Y49" s="1175"/>
      <c r="Z49" s="1175"/>
      <c r="AA49" s="1175"/>
      <c r="AB49" s="1175"/>
      <c r="AC49" s="1175"/>
      <c r="AD49" s="1175"/>
      <c r="AE49" s="1175"/>
      <c r="AF49" s="1175"/>
      <c r="AG49" s="1175"/>
      <c r="AH49" s="1175"/>
      <c r="AI49" s="1175"/>
      <c r="AJ49" s="1175"/>
      <c r="AK49" s="1175"/>
      <c r="AL49" s="1175"/>
      <c r="AM49" s="1175"/>
      <c r="AN49" s="1175"/>
      <c r="AO49" s="1175"/>
      <c r="AP49" s="1175"/>
      <c r="AQ49" s="1175"/>
      <c r="AR49" s="1175"/>
      <c r="AS49" s="1175"/>
      <c r="AT49" s="1175"/>
      <c r="AU49" s="1175"/>
      <c r="AV49" s="1175"/>
      <c r="AW49" s="1175"/>
      <c r="AX49" s="1175"/>
      <c r="AY49" s="1175"/>
      <c r="AZ49" s="1175"/>
      <c r="BA49" s="1175"/>
      <c r="BB49" s="1175"/>
      <c r="BC49" s="1175"/>
      <c r="BD49" s="1175"/>
      <c r="BE49" s="1175"/>
      <c r="BF49" s="1175"/>
      <c r="BG49" s="1175"/>
      <c r="BH49" s="1175"/>
      <c r="BI49" s="1175"/>
      <c r="BJ49" s="1175"/>
      <c r="BK49" s="1175"/>
      <c r="BL49" s="1175"/>
      <c r="BM49" s="1175"/>
      <c r="BN49" s="1175"/>
      <c r="BO49" s="1175"/>
      <c r="BP49" s="1175"/>
      <c r="BQ49" s="1175"/>
      <c r="BR49" s="1175"/>
      <c r="BS49" s="1175"/>
      <c r="BT49" s="1175"/>
      <c r="BU49" s="1175"/>
      <c r="BV49" s="1175"/>
      <c r="BW49" s="1175"/>
      <c r="BX49" s="1175"/>
      <c r="BY49" s="1175"/>
      <c r="BZ49" s="1175"/>
      <c r="CA49" s="1175"/>
      <c r="CB49" s="1175"/>
      <c r="CC49" s="1175"/>
      <c r="CD49" s="1175"/>
      <c r="CE49" s="1175"/>
      <c r="CF49" s="1175"/>
      <c r="CG49" s="1175"/>
      <c r="CH49" s="1175"/>
      <c r="CI49" s="1175"/>
      <c r="CJ49" s="1175"/>
      <c r="CK49" s="1175"/>
      <c r="CL49" s="1175"/>
      <c r="CM49" s="1175"/>
      <c r="CN49" s="1175"/>
      <c r="CO49" s="1175"/>
      <c r="CP49" s="1175"/>
      <c r="CQ49" s="1175"/>
      <c r="CR49" s="1175"/>
      <c r="CS49" s="1175"/>
      <c r="CT49" s="1175"/>
      <c r="CU49" s="1175"/>
      <c r="CV49" s="1175"/>
      <c r="CW49" s="1175"/>
      <c r="CX49" s="1175"/>
      <c r="CY49" s="1175"/>
      <c r="CZ49" s="1175"/>
      <c r="DA49" s="1175"/>
      <c r="DB49" s="1175"/>
      <c r="DC49" s="1175"/>
      <c r="DD49" s="1175"/>
      <c r="DE49" s="1175"/>
      <c r="DF49" s="1175"/>
      <c r="DG49" s="1175"/>
      <c r="DH49" s="1175"/>
      <c r="DI49" s="1175"/>
      <c r="DJ49" s="1175"/>
      <c r="DK49" s="1175"/>
      <c r="DL49" s="1175"/>
      <c r="DM49" s="1175"/>
      <c r="DN49" s="1175"/>
      <c r="DO49" s="1175"/>
      <c r="DP49" s="1175"/>
      <c r="DQ49" s="1175"/>
      <c r="DR49" s="1175"/>
      <c r="DS49" s="1175"/>
    </row>
    <row r="50" spans="1:123" s="1187" customFormat="1" ht="18" customHeight="1" x14ac:dyDescent="0.3">
      <c r="A50" s="1172"/>
      <c r="B50" s="1172"/>
      <c r="C50" s="1172"/>
      <c r="D50" s="1172"/>
      <c r="E50" s="1174"/>
      <c r="F50" s="1174"/>
      <c r="G50" s="1174"/>
      <c r="H50" s="1174"/>
      <c r="I50" s="1174"/>
      <c r="J50" s="1175"/>
      <c r="K50" s="1175"/>
      <c r="L50" s="1175"/>
      <c r="M50" s="1175"/>
      <c r="N50" s="1175"/>
      <c r="O50" s="1175"/>
      <c r="P50" s="1175"/>
      <c r="Q50" s="1175"/>
      <c r="R50" s="1175"/>
      <c r="S50" s="1175"/>
      <c r="T50" s="1175"/>
      <c r="U50" s="1175"/>
      <c r="V50" s="1175"/>
      <c r="W50" s="1175"/>
      <c r="X50" s="1175"/>
      <c r="Y50" s="1175"/>
      <c r="Z50" s="1175"/>
      <c r="AA50" s="1175"/>
      <c r="AB50" s="1175"/>
      <c r="AC50" s="1175"/>
      <c r="AD50" s="1175"/>
      <c r="AE50" s="1175"/>
      <c r="AF50" s="1175"/>
      <c r="AG50" s="1175"/>
      <c r="AH50" s="1175"/>
      <c r="AI50" s="1175"/>
      <c r="AJ50" s="1175"/>
      <c r="AK50" s="1175"/>
      <c r="AL50" s="1175"/>
      <c r="AM50" s="1175"/>
      <c r="AN50" s="1175"/>
      <c r="AO50" s="1175"/>
      <c r="AP50" s="1175"/>
      <c r="AQ50" s="1175"/>
      <c r="AR50" s="1175"/>
      <c r="AS50" s="1175"/>
      <c r="AT50" s="1175"/>
      <c r="AU50" s="1175"/>
      <c r="AV50" s="1175"/>
      <c r="AW50" s="1175"/>
      <c r="AX50" s="1175"/>
      <c r="AY50" s="1175"/>
      <c r="AZ50" s="1175"/>
      <c r="BA50" s="1175"/>
      <c r="BB50" s="1175"/>
      <c r="BC50" s="1175"/>
      <c r="BD50" s="1175"/>
      <c r="BE50" s="1175"/>
      <c r="BF50" s="1175"/>
      <c r="BG50" s="1175"/>
      <c r="BH50" s="1175"/>
      <c r="BI50" s="1175"/>
      <c r="BJ50" s="1175"/>
      <c r="BK50" s="1175"/>
      <c r="BL50" s="1175"/>
      <c r="BM50" s="1175"/>
      <c r="BN50" s="1175"/>
      <c r="BO50" s="1175"/>
      <c r="BP50" s="1175"/>
      <c r="BQ50" s="1175"/>
      <c r="BR50" s="1175"/>
      <c r="BS50" s="1175"/>
      <c r="BT50" s="1175"/>
      <c r="BU50" s="1175"/>
      <c r="BV50" s="1175"/>
      <c r="BW50" s="1175"/>
      <c r="BX50" s="1175"/>
      <c r="BY50" s="1175"/>
      <c r="BZ50" s="1175"/>
      <c r="CA50" s="1175"/>
      <c r="CB50" s="1175"/>
      <c r="CC50" s="1175"/>
      <c r="CD50" s="1175"/>
      <c r="CE50" s="1175"/>
      <c r="CF50" s="1175"/>
      <c r="CG50" s="1175"/>
      <c r="CH50" s="1175"/>
      <c r="CI50" s="1175"/>
      <c r="CJ50" s="1175"/>
      <c r="CK50" s="1175"/>
      <c r="CL50" s="1175"/>
      <c r="CM50" s="1175"/>
      <c r="CN50" s="1175"/>
      <c r="CO50" s="1175"/>
      <c r="CP50" s="1175"/>
      <c r="CQ50" s="1175"/>
      <c r="CR50" s="1175"/>
      <c r="CS50" s="1175"/>
      <c r="CT50" s="1175"/>
      <c r="CU50" s="1175"/>
      <c r="CV50" s="1175"/>
      <c r="CW50" s="1175"/>
      <c r="CX50" s="1175"/>
      <c r="CY50" s="1175"/>
      <c r="CZ50" s="1175"/>
      <c r="DA50" s="1175"/>
      <c r="DB50" s="1175"/>
      <c r="DC50" s="1175"/>
      <c r="DD50" s="1175"/>
      <c r="DE50" s="1175"/>
      <c r="DF50" s="1175"/>
      <c r="DG50" s="1175"/>
      <c r="DH50" s="1175"/>
      <c r="DI50" s="1175"/>
      <c r="DJ50" s="1175"/>
      <c r="DK50" s="1175"/>
      <c r="DL50" s="1175"/>
      <c r="DM50" s="1175"/>
      <c r="DN50" s="1175"/>
      <c r="DO50" s="1175"/>
      <c r="DP50" s="1175"/>
      <c r="DQ50" s="1175"/>
      <c r="DR50" s="1175"/>
      <c r="DS50" s="1175"/>
    </row>
    <row r="51" spans="1:123" s="1187" customFormat="1" ht="18" customHeight="1" x14ac:dyDescent="0.3">
      <c r="A51" s="1172"/>
      <c r="B51" s="1172"/>
      <c r="C51" s="1172"/>
      <c r="D51" s="1172"/>
      <c r="E51" s="1174"/>
      <c r="F51" s="1174"/>
      <c r="G51" s="1174"/>
      <c r="H51" s="1174"/>
      <c r="I51" s="1174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5"/>
      <c r="Y51" s="1175"/>
      <c r="Z51" s="1175"/>
      <c r="AA51" s="1175"/>
      <c r="AB51" s="1175"/>
      <c r="AC51" s="1175"/>
      <c r="AD51" s="1175"/>
      <c r="AE51" s="1175"/>
      <c r="AF51" s="1175"/>
      <c r="AG51" s="1175"/>
      <c r="AH51" s="1175"/>
      <c r="AI51" s="1175"/>
      <c r="AJ51" s="1175"/>
      <c r="AK51" s="1175"/>
      <c r="AL51" s="1175"/>
      <c r="AM51" s="1175"/>
      <c r="AN51" s="1175"/>
      <c r="AO51" s="1175"/>
      <c r="AP51" s="1175"/>
      <c r="AQ51" s="1175"/>
      <c r="AR51" s="1175"/>
      <c r="AS51" s="1175"/>
      <c r="AT51" s="1175"/>
      <c r="AU51" s="1175"/>
      <c r="AV51" s="1175"/>
      <c r="AW51" s="1175"/>
      <c r="AX51" s="1175"/>
      <c r="AY51" s="1175"/>
      <c r="AZ51" s="1175"/>
      <c r="BA51" s="1175"/>
      <c r="BB51" s="1175"/>
      <c r="BC51" s="1175"/>
      <c r="BD51" s="1175"/>
      <c r="BE51" s="1175"/>
      <c r="BF51" s="1175"/>
      <c r="BG51" s="1175"/>
      <c r="BH51" s="1175"/>
      <c r="BI51" s="1175"/>
      <c r="BJ51" s="1175"/>
      <c r="BK51" s="1175"/>
      <c r="BL51" s="1175"/>
      <c r="BM51" s="1175"/>
      <c r="BN51" s="1175"/>
      <c r="BO51" s="1175"/>
      <c r="BP51" s="1175"/>
      <c r="BQ51" s="1175"/>
      <c r="BR51" s="1175"/>
      <c r="BS51" s="1175"/>
      <c r="BT51" s="1175"/>
      <c r="BU51" s="1175"/>
      <c r="BV51" s="1175"/>
      <c r="BW51" s="1175"/>
      <c r="BX51" s="1175"/>
      <c r="BY51" s="1175"/>
      <c r="BZ51" s="1175"/>
      <c r="CA51" s="1175"/>
      <c r="CB51" s="1175"/>
      <c r="CC51" s="1175"/>
      <c r="CD51" s="1175"/>
      <c r="CE51" s="1175"/>
      <c r="CF51" s="1175"/>
      <c r="CG51" s="1175"/>
      <c r="CH51" s="1175"/>
      <c r="CI51" s="1175"/>
      <c r="CJ51" s="1175"/>
      <c r="CK51" s="1175"/>
      <c r="CL51" s="1175"/>
      <c r="CM51" s="1175"/>
      <c r="CN51" s="1175"/>
      <c r="CO51" s="1175"/>
      <c r="CP51" s="1175"/>
      <c r="CQ51" s="1175"/>
      <c r="CR51" s="1175"/>
      <c r="CS51" s="1175"/>
      <c r="CT51" s="1175"/>
      <c r="CU51" s="1175"/>
      <c r="CV51" s="1175"/>
      <c r="CW51" s="1175"/>
      <c r="CX51" s="1175"/>
      <c r="CY51" s="1175"/>
      <c r="CZ51" s="1175"/>
      <c r="DA51" s="1175"/>
      <c r="DB51" s="1175"/>
      <c r="DC51" s="1175"/>
      <c r="DD51" s="1175"/>
      <c r="DE51" s="1175"/>
      <c r="DF51" s="1175"/>
      <c r="DG51" s="1175"/>
      <c r="DH51" s="1175"/>
      <c r="DI51" s="1175"/>
      <c r="DJ51" s="1175"/>
      <c r="DK51" s="1175"/>
      <c r="DL51" s="1175"/>
      <c r="DM51" s="1175"/>
      <c r="DN51" s="1175"/>
      <c r="DO51" s="1175"/>
      <c r="DP51" s="1175"/>
      <c r="DQ51" s="1175"/>
      <c r="DR51" s="1175"/>
      <c r="DS51" s="1175"/>
    </row>
    <row r="52" spans="1:123" s="1187" customFormat="1" ht="18" customHeight="1" x14ac:dyDescent="0.3">
      <c r="A52" s="1172"/>
      <c r="B52" s="1172"/>
      <c r="C52" s="1172"/>
      <c r="D52" s="1172"/>
      <c r="E52" s="1174"/>
      <c r="F52" s="1174"/>
      <c r="G52" s="1174"/>
      <c r="H52" s="1174"/>
      <c r="I52" s="1174"/>
      <c r="J52" s="1175"/>
      <c r="K52" s="1175"/>
      <c r="L52" s="1175"/>
      <c r="M52" s="1175"/>
      <c r="N52" s="1175"/>
      <c r="O52" s="1175"/>
      <c r="P52" s="1175"/>
      <c r="Q52" s="1175"/>
      <c r="R52" s="1175"/>
      <c r="S52" s="1175"/>
      <c r="T52" s="1175"/>
      <c r="U52" s="1175"/>
      <c r="V52" s="1175"/>
      <c r="W52" s="1175"/>
      <c r="X52" s="1175"/>
      <c r="Y52" s="1175"/>
      <c r="Z52" s="1175"/>
      <c r="AA52" s="1175"/>
      <c r="AB52" s="1175"/>
      <c r="AC52" s="1175"/>
      <c r="AD52" s="1175"/>
      <c r="AE52" s="1175"/>
      <c r="AF52" s="1175"/>
      <c r="AG52" s="1175"/>
      <c r="AH52" s="1175"/>
      <c r="AI52" s="1175"/>
      <c r="AJ52" s="1175"/>
      <c r="AK52" s="1175"/>
      <c r="AL52" s="1175"/>
      <c r="AM52" s="1175"/>
      <c r="AN52" s="1175"/>
      <c r="AO52" s="1175"/>
      <c r="AP52" s="1175"/>
      <c r="AQ52" s="1175"/>
      <c r="AR52" s="1175"/>
      <c r="AS52" s="1175"/>
      <c r="AT52" s="1175"/>
      <c r="AU52" s="1175"/>
      <c r="AV52" s="1175"/>
      <c r="AW52" s="1175"/>
      <c r="AX52" s="1175"/>
      <c r="AY52" s="1175"/>
      <c r="AZ52" s="1175"/>
      <c r="BA52" s="1175"/>
      <c r="BB52" s="1175"/>
      <c r="BC52" s="1175"/>
      <c r="BD52" s="1175"/>
      <c r="BE52" s="1175"/>
      <c r="BF52" s="1175"/>
      <c r="BG52" s="1175"/>
      <c r="BH52" s="1175"/>
      <c r="BI52" s="1175"/>
      <c r="BJ52" s="1175"/>
      <c r="BK52" s="1175"/>
      <c r="BL52" s="1175"/>
      <c r="BM52" s="1175"/>
      <c r="BN52" s="1175"/>
      <c r="BO52" s="1175"/>
      <c r="BP52" s="1175"/>
      <c r="BQ52" s="1175"/>
      <c r="BR52" s="1175"/>
      <c r="BS52" s="1175"/>
      <c r="BT52" s="1175"/>
      <c r="BU52" s="1175"/>
      <c r="BV52" s="1175"/>
      <c r="BW52" s="1175"/>
      <c r="BX52" s="1175"/>
      <c r="BY52" s="1175"/>
      <c r="BZ52" s="1175"/>
      <c r="CA52" s="1175"/>
      <c r="CB52" s="1175"/>
      <c r="CC52" s="1175"/>
      <c r="CD52" s="1175"/>
      <c r="CE52" s="1175"/>
      <c r="CF52" s="1175"/>
      <c r="CG52" s="1175"/>
      <c r="CH52" s="1175"/>
      <c r="CI52" s="1175"/>
      <c r="CJ52" s="1175"/>
      <c r="CK52" s="1175"/>
      <c r="CL52" s="1175"/>
      <c r="CM52" s="1175"/>
      <c r="CN52" s="1175"/>
      <c r="CO52" s="1175"/>
      <c r="CP52" s="1175"/>
      <c r="CQ52" s="1175"/>
      <c r="CR52" s="1175"/>
      <c r="CS52" s="1175"/>
      <c r="CT52" s="1175"/>
      <c r="CU52" s="1175"/>
      <c r="CV52" s="1175"/>
      <c r="CW52" s="1175"/>
      <c r="CX52" s="1175"/>
      <c r="CY52" s="1175"/>
      <c r="CZ52" s="1175"/>
      <c r="DA52" s="1175"/>
      <c r="DB52" s="1175"/>
      <c r="DC52" s="1175"/>
      <c r="DD52" s="1175"/>
      <c r="DE52" s="1175"/>
      <c r="DF52" s="1175"/>
      <c r="DG52" s="1175"/>
      <c r="DH52" s="1175"/>
      <c r="DI52" s="1175"/>
      <c r="DJ52" s="1175"/>
      <c r="DK52" s="1175"/>
      <c r="DL52" s="1175"/>
      <c r="DM52" s="1175"/>
      <c r="DN52" s="1175"/>
      <c r="DO52" s="1175"/>
      <c r="DP52" s="1175"/>
      <c r="DQ52" s="1175"/>
      <c r="DR52" s="1175"/>
      <c r="DS52" s="1175"/>
    </row>
    <row r="53" spans="1:123" s="1187" customFormat="1" ht="18" customHeight="1" x14ac:dyDescent="0.3">
      <c r="A53" s="1172"/>
      <c r="B53" s="1172"/>
      <c r="C53" s="1172"/>
      <c r="D53" s="1172"/>
      <c r="E53" s="1174"/>
      <c r="F53" s="1174"/>
      <c r="G53" s="1174"/>
      <c r="H53" s="1174"/>
      <c r="I53" s="1174"/>
      <c r="J53" s="1175"/>
      <c r="K53" s="1175"/>
      <c r="L53" s="1175"/>
      <c r="M53" s="1175"/>
      <c r="N53" s="1175"/>
      <c r="O53" s="1175"/>
      <c r="P53" s="1175"/>
      <c r="Q53" s="1175"/>
      <c r="R53" s="1175"/>
      <c r="S53" s="1175"/>
      <c r="T53" s="1175"/>
      <c r="U53" s="1175"/>
      <c r="V53" s="1175"/>
      <c r="W53" s="1175"/>
      <c r="X53" s="1175"/>
      <c r="Y53" s="1175"/>
      <c r="Z53" s="1175"/>
      <c r="AA53" s="1175"/>
      <c r="AB53" s="1175"/>
      <c r="AC53" s="1175"/>
      <c r="AD53" s="1175"/>
      <c r="AE53" s="1175"/>
      <c r="AF53" s="1175"/>
      <c r="AG53" s="1175"/>
      <c r="AH53" s="1175"/>
      <c r="AI53" s="1175"/>
      <c r="AJ53" s="1175"/>
      <c r="AK53" s="1175"/>
      <c r="AL53" s="1175"/>
      <c r="AM53" s="1175"/>
      <c r="AN53" s="1175"/>
      <c r="AO53" s="1175"/>
      <c r="AP53" s="1175"/>
      <c r="AQ53" s="1175"/>
      <c r="AR53" s="1175"/>
      <c r="AS53" s="1175"/>
      <c r="AT53" s="1175"/>
      <c r="AU53" s="1175"/>
      <c r="AV53" s="1175"/>
      <c r="AW53" s="1175"/>
      <c r="AX53" s="1175"/>
      <c r="AY53" s="1175"/>
      <c r="AZ53" s="1175"/>
      <c r="BA53" s="1175"/>
      <c r="BB53" s="1175"/>
      <c r="BC53" s="1175"/>
      <c r="BD53" s="1175"/>
      <c r="BE53" s="1175"/>
      <c r="BF53" s="1175"/>
      <c r="BG53" s="1175"/>
      <c r="BH53" s="1175"/>
      <c r="BI53" s="1175"/>
      <c r="BJ53" s="1175"/>
      <c r="BK53" s="1175"/>
      <c r="BL53" s="1175"/>
      <c r="BM53" s="1175"/>
      <c r="BN53" s="1175"/>
      <c r="BO53" s="1175"/>
      <c r="BP53" s="1175"/>
      <c r="BQ53" s="1175"/>
      <c r="BR53" s="1175"/>
      <c r="BS53" s="1175"/>
      <c r="BT53" s="1175"/>
      <c r="BU53" s="1175"/>
      <c r="BV53" s="1175"/>
      <c r="BW53" s="1175"/>
      <c r="BX53" s="1175"/>
      <c r="BY53" s="1175"/>
      <c r="BZ53" s="1175"/>
      <c r="CA53" s="1175"/>
      <c r="CB53" s="1175"/>
      <c r="CC53" s="1175"/>
      <c r="CD53" s="1175"/>
      <c r="CE53" s="1175"/>
      <c r="CF53" s="1175"/>
      <c r="CG53" s="1175"/>
      <c r="CH53" s="1175"/>
      <c r="CI53" s="1175"/>
      <c r="CJ53" s="1175"/>
      <c r="CK53" s="1175"/>
      <c r="CL53" s="1175"/>
      <c r="CM53" s="1175"/>
      <c r="CN53" s="1175"/>
      <c r="CO53" s="1175"/>
      <c r="CP53" s="1175"/>
      <c r="CQ53" s="1175"/>
      <c r="CR53" s="1175"/>
      <c r="CS53" s="1175"/>
      <c r="CT53" s="1175"/>
      <c r="CU53" s="1175"/>
      <c r="CV53" s="1175"/>
      <c r="CW53" s="1175"/>
      <c r="CX53" s="1175"/>
      <c r="CY53" s="1175"/>
      <c r="CZ53" s="1175"/>
      <c r="DA53" s="1175"/>
      <c r="DB53" s="1175"/>
      <c r="DC53" s="1175"/>
      <c r="DD53" s="1175"/>
      <c r="DE53" s="1175"/>
      <c r="DF53" s="1175"/>
      <c r="DG53" s="1175"/>
      <c r="DH53" s="1175"/>
      <c r="DI53" s="1175"/>
      <c r="DJ53" s="1175"/>
      <c r="DK53" s="1175"/>
      <c r="DL53" s="1175"/>
      <c r="DM53" s="1175"/>
      <c r="DN53" s="1175"/>
      <c r="DO53" s="1175"/>
      <c r="DP53" s="1175"/>
      <c r="DQ53" s="1175"/>
      <c r="DR53" s="1175"/>
      <c r="DS53" s="1175"/>
    </row>
    <row r="54" spans="1:123" s="1187" customFormat="1" ht="18" customHeight="1" x14ac:dyDescent="0.3">
      <c r="E54" s="1175"/>
      <c r="F54" s="1175"/>
      <c r="G54" s="1175"/>
      <c r="H54" s="1175"/>
      <c r="I54" s="1175"/>
      <c r="J54" s="1175"/>
      <c r="K54" s="1175"/>
      <c r="L54" s="1175"/>
      <c r="M54" s="1175"/>
      <c r="N54" s="1175"/>
      <c r="O54" s="1175"/>
      <c r="P54" s="1175"/>
      <c r="Q54" s="1175"/>
      <c r="R54" s="1175"/>
      <c r="S54" s="1175"/>
      <c r="T54" s="1175"/>
      <c r="U54" s="1175"/>
      <c r="V54" s="1175"/>
      <c r="W54" s="1175"/>
      <c r="X54" s="1175"/>
      <c r="Y54" s="1175"/>
      <c r="Z54" s="1175"/>
      <c r="AA54" s="1175"/>
      <c r="AB54" s="1175"/>
      <c r="AC54" s="1175"/>
      <c r="AD54" s="1175"/>
      <c r="AE54" s="1175"/>
      <c r="AF54" s="1175"/>
      <c r="AG54" s="1175"/>
      <c r="AH54" s="1175"/>
      <c r="AI54" s="1175"/>
      <c r="AJ54" s="1175"/>
      <c r="AK54" s="1175"/>
      <c r="AL54" s="1175"/>
      <c r="AM54" s="1175"/>
      <c r="AN54" s="1175"/>
      <c r="AO54" s="1175"/>
      <c r="AP54" s="1175"/>
      <c r="AQ54" s="1175"/>
      <c r="AR54" s="1175"/>
      <c r="AS54" s="1175"/>
      <c r="AT54" s="1175"/>
      <c r="AU54" s="1175"/>
      <c r="AV54" s="1175"/>
      <c r="AW54" s="1175"/>
      <c r="AX54" s="1175"/>
      <c r="AY54" s="1175"/>
      <c r="AZ54" s="1175"/>
      <c r="BA54" s="1175"/>
      <c r="BB54" s="1175"/>
      <c r="BC54" s="1175"/>
      <c r="BD54" s="1175"/>
      <c r="BE54" s="1175"/>
      <c r="BF54" s="1175"/>
      <c r="BG54" s="1175"/>
      <c r="BH54" s="1175"/>
      <c r="BI54" s="1175"/>
      <c r="BJ54" s="1175"/>
      <c r="BK54" s="1175"/>
      <c r="BL54" s="1175"/>
      <c r="BM54" s="1175"/>
      <c r="BN54" s="1175"/>
      <c r="BO54" s="1175"/>
      <c r="BP54" s="1175"/>
      <c r="BQ54" s="1175"/>
      <c r="BR54" s="1175"/>
      <c r="BS54" s="1175"/>
      <c r="BT54" s="1175"/>
      <c r="BU54" s="1175"/>
      <c r="BV54" s="1175"/>
      <c r="BW54" s="1175"/>
      <c r="BX54" s="1175"/>
      <c r="BY54" s="1175"/>
      <c r="BZ54" s="1175"/>
      <c r="CA54" s="1175"/>
      <c r="CB54" s="1175"/>
      <c r="CC54" s="1175"/>
      <c r="CD54" s="1175"/>
      <c r="CE54" s="1175"/>
      <c r="CF54" s="1175"/>
      <c r="CG54" s="1175"/>
      <c r="CH54" s="1175"/>
      <c r="CI54" s="1175"/>
      <c r="CJ54" s="1175"/>
      <c r="CK54" s="1175"/>
      <c r="CL54" s="1175"/>
      <c r="CM54" s="1175"/>
      <c r="CN54" s="1175"/>
      <c r="CO54" s="1175"/>
      <c r="CP54" s="1175"/>
      <c r="CQ54" s="1175"/>
      <c r="CR54" s="1175"/>
      <c r="CS54" s="1175"/>
      <c r="CT54" s="1175"/>
      <c r="CU54" s="1175"/>
      <c r="CV54" s="1175"/>
      <c r="CW54" s="1175"/>
      <c r="CX54" s="1175"/>
      <c r="CY54" s="1175"/>
      <c r="CZ54" s="1175"/>
      <c r="DA54" s="1175"/>
      <c r="DB54" s="1175"/>
      <c r="DC54" s="1175"/>
      <c r="DD54" s="1175"/>
      <c r="DE54" s="1175"/>
      <c r="DF54" s="1175"/>
      <c r="DG54" s="1175"/>
      <c r="DH54" s="1175"/>
      <c r="DI54" s="1175"/>
      <c r="DJ54" s="1175"/>
      <c r="DK54" s="1175"/>
      <c r="DL54" s="1175"/>
      <c r="DM54" s="1175"/>
      <c r="DN54" s="1175"/>
      <c r="DO54" s="1175"/>
      <c r="DP54" s="1175"/>
      <c r="DQ54" s="1175"/>
      <c r="DR54" s="1175"/>
      <c r="DS54" s="1175"/>
    </row>
    <row r="55" spans="1:123" s="1187" customFormat="1" ht="18" customHeight="1" x14ac:dyDescent="0.3">
      <c r="E55" s="1175"/>
      <c r="F55" s="1175"/>
      <c r="G55" s="1175"/>
      <c r="H55" s="1175"/>
      <c r="I55" s="1175"/>
      <c r="J55" s="1175"/>
      <c r="K55" s="1175"/>
      <c r="L55" s="1175"/>
      <c r="M55" s="1175"/>
      <c r="N55" s="1175"/>
      <c r="O55" s="1175"/>
      <c r="P55" s="1175"/>
      <c r="Q55" s="1175"/>
      <c r="R55" s="1175"/>
      <c r="S55" s="1175"/>
      <c r="T55" s="1175"/>
      <c r="U55" s="1175"/>
      <c r="V55" s="1175"/>
      <c r="W55" s="1175"/>
      <c r="X55" s="1175"/>
      <c r="Y55" s="1175"/>
      <c r="Z55" s="1175"/>
      <c r="AA55" s="1175"/>
      <c r="AB55" s="1175"/>
      <c r="AC55" s="1175"/>
      <c r="AD55" s="1175"/>
      <c r="AE55" s="1175"/>
      <c r="AF55" s="1175"/>
      <c r="AG55" s="1175"/>
      <c r="AH55" s="1175"/>
      <c r="AI55" s="1175"/>
      <c r="AJ55" s="1175"/>
      <c r="AK55" s="1175"/>
      <c r="AL55" s="1175"/>
      <c r="AM55" s="1175"/>
      <c r="AN55" s="1175"/>
      <c r="AO55" s="1175"/>
      <c r="AP55" s="1175"/>
      <c r="AQ55" s="1175"/>
      <c r="AR55" s="1175"/>
      <c r="AS55" s="1175"/>
      <c r="AT55" s="1175"/>
      <c r="AU55" s="1175"/>
      <c r="AV55" s="1175"/>
      <c r="AW55" s="1175"/>
      <c r="AX55" s="1175"/>
      <c r="AY55" s="1175"/>
      <c r="AZ55" s="1175"/>
      <c r="BA55" s="1175"/>
      <c r="BB55" s="1175"/>
      <c r="BC55" s="1175"/>
      <c r="BD55" s="1175"/>
      <c r="BE55" s="1175"/>
      <c r="BF55" s="1175"/>
      <c r="BG55" s="1175"/>
      <c r="BH55" s="1175"/>
      <c r="BI55" s="1175"/>
      <c r="BJ55" s="1175"/>
      <c r="BK55" s="1175"/>
      <c r="BL55" s="1175"/>
      <c r="BM55" s="1175"/>
      <c r="BN55" s="1175"/>
      <c r="BO55" s="1175"/>
      <c r="BP55" s="1175"/>
      <c r="BQ55" s="1175"/>
      <c r="BR55" s="1175"/>
      <c r="BS55" s="1175"/>
      <c r="BT55" s="1175"/>
      <c r="BU55" s="1175"/>
      <c r="BV55" s="1175"/>
      <c r="BW55" s="1175"/>
      <c r="BX55" s="1175"/>
      <c r="BY55" s="1175"/>
      <c r="BZ55" s="1175"/>
      <c r="CA55" s="1175"/>
      <c r="CB55" s="1175"/>
      <c r="CC55" s="1175"/>
      <c r="CD55" s="1175"/>
      <c r="CE55" s="1175"/>
      <c r="CF55" s="1175"/>
      <c r="CG55" s="1175"/>
      <c r="CH55" s="1175"/>
      <c r="CI55" s="1175"/>
      <c r="CJ55" s="1175"/>
      <c r="CK55" s="1175"/>
      <c r="CL55" s="1175"/>
      <c r="CM55" s="1175"/>
      <c r="CN55" s="1175"/>
      <c r="CO55" s="1175"/>
      <c r="CP55" s="1175"/>
      <c r="CQ55" s="1175"/>
      <c r="CR55" s="1175"/>
      <c r="CS55" s="1175"/>
      <c r="CT55" s="1175"/>
      <c r="CU55" s="1175"/>
      <c r="CV55" s="1175"/>
      <c r="CW55" s="1175"/>
      <c r="CX55" s="1175"/>
      <c r="CY55" s="1175"/>
      <c r="CZ55" s="1175"/>
      <c r="DA55" s="1175"/>
      <c r="DB55" s="1175"/>
      <c r="DC55" s="1175"/>
      <c r="DD55" s="1175"/>
      <c r="DE55" s="1175"/>
      <c r="DF55" s="1175"/>
      <c r="DG55" s="1175"/>
      <c r="DH55" s="1175"/>
      <c r="DI55" s="1175"/>
      <c r="DJ55" s="1175"/>
      <c r="DK55" s="1175"/>
      <c r="DL55" s="1175"/>
      <c r="DM55" s="1175"/>
      <c r="DN55" s="1175"/>
      <c r="DO55" s="1175"/>
      <c r="DP55" s="1175"/>
      <c r="DQ55" s="1175"/>
      <c r="DR55" s="1175"/>
      <c r="DS55" s="1175"/>
    </row>
    <row r="56" spans="1:123" s="1187" customFormat="1" ht="18" customHeight="1" x14ac:dyDescent="0.3">
      <c r="E56" s="1175"/>
      <c r="F56" s="1175"/>
      <c r="G56" s="1175"/>
      <c r="H56" s="1175"/>
      <c r="I56" s="1175"/>
      <c r="J56" s="1175"/>
      <c r="K56" s="1175"/>
      <c r="L56" s="1175"/>
      <c r="M56" s="1175"/>
      <c r="N56" s="1175"/>
      <c r="O56" s="1175"/>
      <c r="P56" s="1175"/>
      <c r="Q56" s="1175"/>
      <c r="R56" s="1175"/>
      <c r="S56" s="1175"/>
      <c r="T56" s="1175"/>
      <c r="U56" s="1175"/>
      <c r="V56" s="1175"/>
      <c r="W56" s="1175"/>
      <c r="X56" s="1175"/>
      <c r="Y56" s="1175"/>
      <c r="Z56" s="1175"/>
      <c r="AA56" s="1175"/>
      <c r="AB56" s="1175"/>
      <c r="AC56" s="1175"/>
      <c r="AD56" s="1175"/>
      <c r="AE56" s="1175"/>
      <c r="AF56" s="1175"/>
      <c r="AG56" s="1175"/>
      <c r="AH56" s="1175"/>
      <c r="AI56" s="1175"/>
      <c r="AJ56" s="1175"/>
      <c r="AK56" s="1175"/>
      <c r="AL56" s="1175"/>
      <c r="AM56" s="1175"/>
      <c r="AN56" s="1175"/>
      <c r="AO56" s="1175"/>
      <c r="AP56" s="1175"/>
      <c r="AQ56" s="1175"/>
      <c r="AR56" s="1175"/>
      <c r="AS56" s="1175"/>
      <c r="AT56" s="1175"/>
      <c r="AU56" s="1175"/>
      <c r="AV56" s="1175"/>
      <c r="AW56" s="1175"/>
      <c r="AX56" s="1175"/>
      <c r="AY56" s="1175"/>
      <c r="AZ56" s="1175"/>
      <c r="BA56" s="1175"/>
      <c r="BB56" s="1175"/>
      <c r="BC56" s="1175"/>
      <c r="BD56" s="1175"/>
      <c r="BE56" s="1175"/>
      <c r="BF56" s="1175"/>
      <c r="BG56" s="1175"/>
      <c r="BH56" s="1175"/>
      <c r="BI56" s="1175"/>
      <c r="BJ56" s="1175"/>
      <c r="BK56" s="1175"/>
      <c r="BL56" s="1175"/>
      <c r="BM56" s="1175"/>
      <c r="BN56" s="1175"/>
      <c r="BO56" s="1175"/>
      <c r="BP56" s="1175"/>
      <c r="BQ56" s="1175"/>
      <c r="BR56" s="1175"/>
      <c r="BS56" s="1175"/>
      <c r="BT56" s="1175"/>
      <c r="BU56" s="1175"/>
      <c r="BV56" s="1175"/>
      <c r="BW56" s="1175"/>
      <c r="BX56" s="1175"/>
      <c r="BY56" s="1175"/>
      <c r="BZ56" s="1175"/>
      <c r="CA56" s="1175"/>
      <c r="CB56" s="1175"/>
      <c r="CC56" s="1175"/>
      <c r="CD56" s="1175"/>
      <c r="CE56" s="1175"/>
      <c r="CF56" s="1175"/>
      <c r="CG56" s="1175"/>
      <c r="CH56" s="1175"/>
      <c r="CI56" s="1175"/>
      <c r="CJ56" s="1175"/>
      <c r="CK56" s="1175"/>
      <c r="CL56" s="1175"/>
      <c r="CM56" s="1175"/>
      <c r="CN56" s="1175"/>
      <c r="CO56" s="1175"/>
      <c r="CP56" s="1175"/>
      <c r="CQ56" s="1175"/>
      <c r="CR56" s="1175"/>
      <c r="CS56" s="1175"/>
      <c r="CT56" s="1175"/>
      <c r="CU56" s="1175"/>
      <c r="CV56" s="1175"/>
      <c r="CW56" s="1175"/>
      <c r="CX56" s="1175"/>
      <c r="CY56" s="1175"/>
      <c r="CZ56" s="1175"/>
      <c r="DA56" s="1175"/>
      <c r="DB56" s="1175"/>
      <c r="DC56" s="1175"/>
      <c r="DD56" s="1175"/>
      <c r="DE56" s="1175"/>
      <c r="DF56" s="1175"/>
      <c r="DG56" s="1175"/>
      <c r="DH56" s="1175"/>
      <c r="DI56" s="1175"/>
      <c r="DJ56" s="1175"/>
      <c r="DK56" s="1175"/>
      <c r="DL56" s="1175"/>
      <c r="DM56" s="1175"/>
      <c r="DN56" s="1175"/>
      <c r="DO56" s="1175"/>
      <c r="DP56" s="1175"/>
      <c r="DQ56" s="1175"/>
      <c r="DR56" s="1175"/>
      <c r="DS56" s="1175"/>
    </row>
    <row r="57" spans="1:123" s="1187" customFormat="1" ht="18" customHeight="1" x14ac:dyDescent="0.3">
      <c r="E57" s="1175"/>
      <c r="F57" s="1175"/>
      <c r="G57" s="1175"/>
      <c r="H57" s="1175"/>
      <c r="I57" s="1175"/>
      <c r="J57" s="1175"/>
      <c r="K57" s="1175"/>
      <c r="L57" s="1175"/>
      <c r="M57" s="1175"/>
      <c r="N57" s="1175"/>
      <c r="O57" s="1175"/>
      <c r="P57" s="1175"/>
      <c r="Q57" s="1175"/>
      <c r="R57" s="1175"/>
      <c r="S57" s="1175"/>
      <c r="T57" s="1175"/>
      <c r="U57" s="1175"/>
      <c r="V57" s="1175"/>
      <c r="W57" s="1175"/>
      <c r="X57" s="1175"/>
      <c r="Y57" s="1175"/>
      <c r="Z57" s="1175"/>
      <c r="AA57" s="1175"/>
      <c r="AB57" s="1175"/>
      <c r="AC57" s="1175"/>
      <c r="AD57" s="1175"/>
      <c r="AE57" s="1175"/>
      <c r="AF57" s="1175"/>
      <c r="AG57" s="1175"/>
      <c r="AH57" s="1175"/>
      <c r="AI57" s="1175"/>
      <c r="AJ57" s="1175"/>
      <c r="AK57" s="1175"/>
      <c r="AL57" s="1175"/>
      <c r="AM57" s="1175"/>
      <c r="AN57" s="1175"/>
      <c r="AO57" s="1175"/>
      <c r="AP57" s="1175"/>
      <c r="AQ57" s="1175"/>
      <c r="AR57" s="1175"/>
      <c r="AS57" s="1175"/>
      <c r="AT57" s="1175"/>
      <c r="AU57" s="1175"/>
      <c r="AV57" s="1175"/>
      <c r="AW57" s="1175"/>
      <c r="AX57" s="1175"/>
      <c r="AY57" s="1175"/>
      <c r="AZ57" s="1175"/>
      <c r="BA57" s="1175"/>
      <c r="BB57" s="1175"/>
      <c r="BC57" s="1175"/>
      <c r="BD57" s="1175"/>
      <c r="BE57" s="1175"/>
      <c r="BF57" s="1175"/>
      <c r="BG57" s="1175"/>
      <c r="BH57" s="1175"/>
      <c r="BI57" s="1175"/>
      <c r="BJ57" s="1175"/>
      <c r="BK57" s="1175"/>
      <c r="BL57" s="1175"/>
      <c r="BM57" s="1175"/>
      <c r="BN57" s="1175"/>
      <c r="BO57" s="1175"/>
      <c r="BP57" s="1175"/>
      <c r="BQ57" s="1175"/>
      <c r="BR57" s="1175"/>
      <c r="BS57" s="1175"/>
      <c r="BT57" s="1175"/>
      <c r="BU57" s="1175"/>
      <c r="BV57" s="1175"/>
      <c r="BW57" s="1175"/>
      <c r="BX57" s="1175"/>
      <c r="BY57" s="1175"/>
      <c r="BZ57" s="1175"/>
      <c r="CA57" s="1175"/>
      <c r="CB57" s="1175"/>
      <c r="CC57" s="1175"/>
      <c r="CD57" s="1175"/>
      <c r="CE57" s="1175"/>
      <c r="CF57" s="1175"/>
      <c r="CG57" s="1175"/>
      <c r="CH57" s="1175"/>
      <c r="CI57" s="1175"/>
      <c r="CJ57" s="1175"/>
      <c r="CK57" s="1175"/>
      <c r="CL57" s="1175"/>
      <c r="CM57" s="1175"/>
      <c r="CN57" s="1175"/>
      <c r="CO57" s="1175"/>
      <c r="CP57" s="1175"/>
      <c r="CQ57" s="1175"/>
      <c r="CR57" s="1175"/>
      <c r="CS57" s="1175"/>
      <c r="CT57" s="1175"/>
      <c r="CU57" s="1175"/>
      <c r="CV57" s="1175"/>
      <c r="CW57" s="1175"/>
      <c r="CX57" s="1175"/>
      <c r="CY57" s="1175"/>
      <c r="CZ57" s="1175"/>
      <c r="DA57" s="1175"/>
      <c r="DB57" s="1175"/>
      <c r="DC57" s="1175"/>
      <c r="DD57" s="1175"/>
      <c r="DE57" s="1175"/>
      <c r="DF57" s="1175"/>
      <c r="DG57" s="1175"/>
      <c r="DH57" s="1175"/>
      <c r="DI57" s="1175"/>
      <c r="DJ57" s="1175"/>
      <c r="DK57" s="1175"/>
      <c r="DL57" s="1175"/>
      <c r="DM57" s="1175"/>
      <c r="DN57" s="1175"/>
      <c r="DO57" s="1175"/>
      <c r="DP57" s="1175"/>
      <c r="DQ57" s="1175"/>
      <c r="DR57" s="1175"/>
      <c r="DS57" s="1175"/>
    </row>
    <row r="58" spans="1:123" s="1187" customFormat="1" ht="18" customHeight="1" x14ac:dyDescent="0.3">
      <c r="E58" s="1175"/>
      <c r="F58" s="1175"/>
      <c r="G58" s="1175"/>
      <c r="H58" s="1175"/>
      <c r="I58" s="1175"/>
      <c r="J58" s="1175"/>
      <c r="K58" s="1175"/>
      <c r="L58" s="1175"/>
      <c r="M58" s="1175"/>
      <c r="N58" s="1175"/>
      <c r="O58" s="1175"/>
      <c r="P58" s="1175"/>
      <c r="Q58" s="1175"/>
      <c r="R58" s="1175"/>
      <c r="S58" s="1175"/>
      <c r="T58" s="1175"/>
      <c r="U58" s="1175"/>
      <c r="V58" s="1175"/>
      <c r="W58" s="1175"/>
      <c r="X58" s="1175"/>
      <c r="Y58" s="1175"/>
      <c r="Z58" s="1175"/>
      <c r="AA58" s="1175"/>
      <c r="AB58" s="1175"/>
      <c r="AC58" s="1175"/>
      <c r="AD58" s="1175"/>
      <c r="AE58" s="1175"/>
      <c r="AF58" s="1175"/>
      <c r="AG58" s="1175"/>
      <c r="AH58" s="1175"/>
      <c r="AI58" s="1175"/>
      <c r="AJ58" s="1175"/>
      <c r="AK58" s="1175"/>
      <c r="AL58" s="1175"/>
      <c r="AM58" s="1175"/>
      <c r="AN58" s="1175"/>
      <c r="AO58" s="1175"/>
      <c r="AP58" s="1175"/>
      <c r="AQ58" s="1175"/>
      <c r="AR58" s="1175"/>
      <c r="AS58" s="1175"/>
      <c r="AT58" s="1175"/>
      <c r="AU58" s="1175"/>
      <c r="AV58" s="1175"/>
      <c r="AW58" s="1175"/>
      <c r="AX58" s="1175"/>
      <c r="AY58" s="1175"/>
      <c r="AZ58" s="1175"/>
      <c r="BA58" s="1175"/>
      <c r="BB58" s="1175"/>
      <c r="BC58" s="1175"/>
      <c r="BD58" s="1175"/>
      <c r="BE58" s="1175"/>
      <c r="BF58" s="1175"/>
      <c r="BG58" s="1175"/>
      <c r="BH58" s="1175"/>
      <c r="BI58" s="1175"/>
      <c r="BJ58" s="1175"/>
      <c r="BK58" s="1175"/>
      <c r="BL58" s="1175"/>
      <c r="BM58" s="1175"/>
      <c r="BN58" s="1175"/>
      <c r="BO58" s="1175"/>
      <c r="BP58" s="1175"/>
      <c r="BQ58" s="1175"/>
      <c r="BR58" s="1175"/>
      <c r="BS58" s="1175"/>
      <c r="BT58" s="1175"/>
      <c r="BU58" s="1175"/>
      <c r="BV58" s="1175"/>
      <c r="BW58" s="1175"/>
      <c r="BX58" s="1175"/>
      <c r="BY58" s="1175"/>
      <c r="BZ58" s="1175"/>
      <c r="CA58" s="1175"/>
      <c r="CB58" s="1175"/>
      <c r="CC58" s="1175"/>
      <c r="CD58" s="1175"/>
      <c r="CE58" s="1175"/>
      <c r="CF58" s="1175"/>
      <c r="CG58" s="1175"/>
      <c r="CH58" s="1175"/>
      <c r="CI58" s="1175"/>
      <c r="CJ58" s="1175"/>
      <c r="CK58" s="1175"/>
      <c r="CL58" s="1175"/>
      <c r="CM58" s="1175"/>
      <c r="CN58" s="1175"/>
      <c r="CO58" s="1175"/>
      <c r="CP58" s="1175"/>
      <c r="CQ58" s="1175"/>
      <c r="CR58" s="1175"/>
      <c r="CS58" s="1175"/>
      <c r="CT58" s="1175"/>
      <c r="CU58" s="1175"/>
      <c r="CV58" s="1175"/>
      <c r="CW58" s="1175"/>
      <c r="CX58" s="1175"/>
      <c r="CY58" s="1175"/>
      <c r="CZ58" s="1175"/>
      <c r="DA58" s="1175"/>
      <c r="DB58" s="1175"/>
      <c r="DC58" s="1175"/>
      <c r="DD58" s="1175"/>
      <c r="DE58" s="1175"/>
      <c r="DF58" s="1175"/>
      <c r="DG58" s="1175"/>
      <c r="DH58" s="1175"/>
      <c r="DI58" s="1175"/>
      <c r="DJ58" s="1175"/>
      <c r="DK58" s="1175"/>
      <c r="DL58" s="1175"/>
      <c r="DM58" s="1175"/>
      <c r="DN58" s="1175"/>
      <c r="DO58" s="1175"/>
      <c r="DP58" s="1175"/>
      <c r="DQ58" s="1175"/>
      <c r="DR58" s="1175"/>
      <c r="DS58" s="1175"/>
    </row>
    <row r="59" spans="1:123" s="1187" customFormat="1" ht="18" customHeight="1" x14ac:dyDescent="0.3">
      <c r="E59" s="1175"/>
      <c r="F59" s="1175"/>
      <c r="G59" s="1175"/>
      <c r="H59" s="1175"/>
      <c r="I59" s="1175"/>
      <c r="J59" s="1175"/>
      <c r="K59" s="1175"/>
      <c r="L59" s="1175"/>
      <c r="M59" s="1175"/>
      <c r="N59" s="1175"/>
      <c r="O59" s="1175"/>
      <c r="P59" s="1175"/>
      <c r="Q59" s="1175"/>
      <c r="R59" s="1175"/>
      <c r="S59" s="1175"/>
      <c r="T59" s="1175"/>
      <c r="U59" s="1175"/>
      <c r="V59" s="1175"/>
      <c r="W59" s="1175"/>
      <c r="X59" s="1175"/>
      <c r="Y59" s="1175"/>
      <c r="Z59" s="1175"/>
      <c r="AA59" s="1175"/>
      <c r="AB59" s="1175"/>
      <c r="AC59" s="1175"/>
      <c r="AD59" s="1175"/>
      <c r="AE59" s="1175"/>
      <c r="AF59" s="1175"/>
      <c r="AG59" s="1175"/>
      <c r="AH59" s="1175"/>
      <c r="AI59" s="1175"/>
      <c r="AJ59" s="1175"/>
      <c r="AK59" s="1175"/>
      <c r="AL59" s="1175"/>
      <c r="AM59" s="1175"/>
      <c r="AN59" s="1175"/>
      <c r="AO59" s="1175"/>
      <c r="AP59" s="1175"/>
      <c r="AQ59" s="1175"/>
      <c r="AR59" s="1175"/>
      <c r="AS59" s="1175"/>
      <c r="AT59" s="1175"/>
      <c r="AU59" s="1175"/>
      <c r="AV59" s="1175"/>
      <c r="AW59" s="1175"/>
      <c r="AX59" s="1175"/>
      <c r="AY59" s="1175"/>
      <c r="AZ59" s="1175"/>
      <c r="BA59" s="1175"/>
      <c r="BB59" s="1175"/>
      <c r="BC59" s="1175"/>
      <c r="BD59" s="1175"/>
      <c r="BE59" s="1175"/>
      <c r="BF59" s="1175"/>
      <c r="BG59" s="1175"/>
      <c r="BH59" s="1175"/>
      <c r="BI59" s="1175"/>
      <c r="BJ59" s="1175"/>
      <c r="BK59" s="1175"/>
      <c r="BL59" s="1175"/>
      <c r="BM59" s="1175"/>
      <c r="BN59" s="1175"/>
      <c r="BO59" s="1175"/>
      <c r="BP59" s="1175"/>
      <c r="BQ59" s="1175"/>
      <c r="BR59" s="1175"/>
      <c r="BS59" s="1175"/>
      <c r="BT59" s="1175"/>
      <c r="BU59" s="1175"/>
      <c r="BV59" s="1175"/>
      <c r="BW59" s="1175"/>
      <c r="BX59" s="1175"/>
      <c r="BY59" s="1175"/>
      <c r="BZ59" s="1175"/>
      <c r="CA59" s="1175"/>
      <c r="CB59" s="1175"/>
      <c r="CC59" s="1175"/>
      <c r="CD59" s="1175"/>
      <c r="CE59" s="1175"/>
      <c r="CF59" s="1175"/>
      <c r="CG59" s="1175"/>
      <c r="CH59" s="1175"/>
      <c r="CI59" s="1175"/>
      <c r="CJ59" s="1175"/>
      <c r="CK59" s="1175"/>
      <c r="CL59" s="1175"/>
      <c r="CM59" s="1175"/>
      <c r="CN59" s="1175"/>
      <c r="CO59" s="1175"/>
      <c r="CP59" s="1175"/>
      <c r="CQ59" s="1175"/>
      <c r="CR59" s="1175"/>
      <c r="CS59" s="1175"/>
      <c r="CT59" s="1175"/>
      <c r="CU59" s="1175"/>
      <c r="CV59" s="1175"/>
      <c r="CW59" s="1175"/>
      <c r="CX59" s="1175"/>
      <c r="CY59" s="1175"/>
      <c r="CZ59" s="1175"/>
      <c r="DA59" s="1175"/>
      <c r="DB59" s="1175"/>
      <c r="DC59" s="1175"/>
      <c r="DD59" s="1175"/>
      <c r="DE59" s="1175"/>
      <c r="DF59" s="1175"/>
      <c r="DG59" s="1175"/>
      <c r="DH59" s="1175"/>
      <c r="DI59" s="1175"/>
      <c r="DJ59" s="1175"/>
      <c r="DK59" s="1175"/>
      <c r="DL59" s="1175"/>
      <c r="DM59" s="1175"/>
      <c r="DN59" s="1175"/>
      <c r="DO59" s="1175"/>
      <c r="DP59" s="1175"/>
      <c r="DQ59" s="1175"/>
      <c r="DR59" s="1175"/>
      <c r="DS59" s="1175"/>
    </row>
    <row r="60" spans="1:123" s="1187" customFormat="1" ht="18" customHeight="1" x14ac:dyDescent="0.3">
      <c r="E60" s="1175"/>
      <c r="F60" s="1175"/>
      <c r="G60" s="1175"/>
      <c r="H60" s="1175"/>
      <c r="I60" s="1175"/>
      <c r="J60" s="1175"/>
      <c r="K60" s="1175"/>
      <c r="L60" s="1175"/>
      <c r="M60" s="1175"/>
      <c r="N60" s="1175"/>
      <c r="O60" s="1175"/>
      <c r="P60" s="1175"/>
      <c r="Q60" s="1175"/>
      <c r="R60" s="1175"/>
      <c r="S60" s="1175"/>
      <c r="T60" s="1175"/>
      <c r="U60" s="1175"/>
      <c r="V60" s="1175"/>
      <c r="W60" s="1175"/>
      <c r="X60" s="1175"/>
      <c r="Y60" s="1175"/>
      <c r="Z60" s="1175"/>
      <c r="AA60" s="1175"/>
      <c r="AB60" s="1175"/>
      <c r="AC60" s="1175"/>
      <c r="AD60" s="1175"/>
      <c r="AE60" s="1175"/>
      <c r="AF60" s="1175"/>
      <c r="AG60" s="1175"/>
      <c r="AH60" s="1175"/>
      <c r="AI60" s="1175"/>
      <c r="AJ60" s="1175"/>
      <c r="AK60" s="1175"/>
      <c r="AL60" s="1175"/>
      <c r="AM60" s="1175"/>
      <c r="AN60" s="1175"/>
      <c r="AO60" s="1175"/>
      <c r="AP60" s="1175"/>
      <c r="AQ60" s="1175"/>
      <c r="AR60" s="1175"/>
      <c r="AS60" s="1175"/>
      <c r="AT60" s="1175"/>
      <c r="AU60" s="1175"/>
      <c r="AV60" s="1175"/>
      <c r="AW60" s="1175"/>
      <c r="AX60" s="1175"/>
      <c r="AY60" s="1175"/>
      <c r="AZ60" s="1175"/>
      <c r="BA60" s="1175"/>
      <c r="BB60" s="1175"/>
      <c r="BC60" s="1175"/>
      <c r="BD60" s="1175"/>
      <c r="BE60" s="1175"/>
      <c r="BF60" s="1175"/>
      <c r="BG60" s="1175"/>
      <c r="BH60" s="1175"/>
      <c r="BI60" s="1175"/>
      <c r="BJ60" s="1175"/>
      <c r="BK60" s="1175"/>
      <c r="BL60" s="1175"/>
      <c r="BM60" s="1175"/>
      <c r="BN60" s="1175"/>
      <c r="BO60" s="1175"/>
      <c r="BP60" s="1175"/>
      <c r="BQ60" s="1175"/>
      <c r="BR60" s="1175"/>
      <c r="BS60" s="1175"/>
      <c r="BT60" s="1175"/>
      <c r="BU60" s="1175"/>
      <c r="BV60" s="1175"/>
      <c r="BW60" s="1175"/>
      <c r="BX60" s="1175"/>
      <c r="BY60" s="1175"/>
      <c r="BZ60" s="1175"/>
      <c r="CA60" s="1175"/>
      <c r="CB60" s="1175"/>
      <c r="CC60" s="1175"/>
      <c r="CD60" s="1175"/>
      <c r="CE60" s="1175"/>
      <c r="CF60" s="1175"/>
      <c r="CG60" s="1175"/>
      <c r="CH60" s="1175"/>
      <c r="CI60" s="1175"/>
      <c r="CJ60" s="1175"/>
      <c r="CK60" s="1175"/>
      <c r="CL60" s="1175"/>
      <c r="CM60" s="1175"/>
      <c r="CN60" s="1175"/>
      <c r="CO60" s="1175"/>
      <c r="CP60" s="1175"/>
      <c r="CQ60" s="1175"/>
      <c r="CR60" s="1175"/>
      <c r="CS60" s="1175"/>
      <c r="CT60" s="1175"/>
      <c r="CU60" s="1175"/>
      <c r="CV60" s="1175"/>
      <c r="CW60" s="1175"/>
      <c r="CX60" s="1175"/>
      <c r="CY60" s="1175"/>
      <c r="CZ60" s="1175"/>
      <c r="DA60" s="1175"/>
      <c r="DB60" s="1175"/>
      <c r="DC60" s="1175"/>
      <c r="DD60" s="1175"/>
      <c r="DE60" s="1175"/>
      <c r="DF60" s="1175"/>
      <c r="DG60" s="1175"/>
      <c r="DH60" s="1175"/>
      <c r="DI60" s="1175"/>
      <c r="DJ60" s="1175"/>
      <c r="DK60" s="1175"/>
      <c r="DL60" s="1175"/>
      <c r="DM60" s="1175"/>
      <c r="DN60" s="1175"/>
      <c r="DO60" s="1175"/>
      <c r="DP60" s="1175"/>
      <c r="DQ60" s="1175"/>
      <c r="DR60" s="1175"/>
      <c r="DS60" s="1175"/>
    </row>
    <row r="61" spans="1:123" s="1187" customFormat="1" ht="18" customHeight="1" x14ac:dyDescent="0.3">
      <c r="E61" s="1175"/>
      <c r="F61" s="1175"/>
      <c r="G61" s="1175"/>
      <c r="H61" s="1175"/>
      <c r="I61" s="1175"/>
      <c r="J61" s="1175"/>
      <c r="K61" s="1175"/>
      <c r="L61" s="1175"/>
      <c r="M61" s="1175"/>
      <c r="N61" s="1175"/>
      <c r="O61" s="1175"/>
      <c r="P61" s="1175"/>
      <c r="Q61" s="1175"/>
      <c r="R61" s="1175"/>
      <c r="S61" s="1175"/>
      <c r="T61" s="1175"/>
      <c r="U61" s="1175"/>
      <c r="V61" s="1175"/>
      <c r="W61" s="1175"/>
      <c r="X61" s="1175"/>
      <c r="Y61" s="1175"/>
      <c r="Z61" s="1175"/>
      <c r="AA61" s="1175"/>
      <c r="AB61" s="1175"/>
      <c r="AC61" s="1175"/>
      <c r="AD61" s="1175"/>
      <c r="AE61" s="1175"/>
      <c r="AF61" s="1175"/>
      <c r="AG61" s="1175"/>
      <c r="AH61" s="1175"/>
      <c r="AI61" s="1175"/>
      <c r="AJ61" s="1175"/>
      <c r="AK61" s="1175"/>
      <c r="AL61" s="1175"/>
      <c r="AM61" s="1175"/>
      <c r="AN61" s="1175"/>
      <c r="AO61" s="1175"/>
      <c r="AP61" s="1175"/>
      <c r="AQ61" s="1175"/>
      <c r="AR61" s="1175"/>
      <c r="AS61" s="1175"/>
      <c r="AT61" s="1175"/>
      <c r="AU61" s="1175"/>
      <c r="AV61" s="1175"/>
      <c r="AW61" s="1175"/>
      <c r="AX61" s="1175"/>
      <c r="AY61" s="1175"/>
      <c r="AZ61" s="1175"/>
      <c r="BA61" s="1175"/>
      <c r="BB61" s="1175"/>
      <c r="BC61" s="1175"/>
      <c r="BD61" s="1175"/>
      <c r="BE61" s="1175"/>
      <c r="BF61" s="1175"/>
      <c r="BG61" s="1175"/>
      <c r="BH61" s="1175"/>
      <c r="BI61" s="1175"/>
      <c r="BJ61" s="1175"/>
      <c r="BK61" s="1175"/>
      <c r="BL61" s="1175"/>
      <c r="BM61" s="1175"/>
      <c r="BN61" s="1175"/>
      <c r="BO61" s="1175"/>
      <c r="BP61" s="1175"/>
      <c r="BQ61" s="1175"/>
      <c r="BR61" s="1175"/>
      <c r="BS61" s="1175"/>
      <c r="BT61" s="1175"/>
      <c r="BU61" s="1175"/>
      <c r="BV61" s="1175"/>
      <c r="BW61" s="1175"/>
      <c r="BX61" s="1175"/>
      <c r="BY61" s="1175"/>
      <c r="BZ61" s="1175"/>
      <c r="CA61" s="1175"/>
      <c r="CB61" s="1175"/>
      <c r="CC61" s="1175"/>
      <c r="CD61" s="1175"/>
      <c r="CE61" s="1175"/>
      <c r="CF61" s="1175"/>
      <c r="CG61" s="1175"/>
      <c r="CH61" s="1175"/>
      <c r="CI61" s="1175"/>
      <c r="CJ61" s="1175"/>
      <c r="CK61" s="1175"/>
      <c r="CL61" s="1175"/>
      <c r="CM61" s="1175"/>
      <c r="CN61" s="1175"/>
      <c r="CO61" s="1175"/>
      <c r="CP61" s="1175"/>
      <c r="CQ61" s="1175"/>
      <c r="CR61" s="1175"/>
      <c r="CS61" s="1175"/>
      <c r="CT61" s="1175"/>
      <c r="CU61" s="1175"/>
      <c r="CV61" s="1175"/>
      <c r="CW61" s="1175"/>
      <c r="CX61" s="1175"/>
      <c r="CY61" s="1175"/>
      <c r="CZ61" s="1175"/>
      <c r="DA61" s="1175"/>
      <c r="DB61" s="1175"/>
      <c r="DC61" s="1175"/>
      <c r="DD61" s="1175"/>
      <c r="DE61" s="1175"/>
      <c r="DF61" s="1175"/>
      <c r="DG61" s="1175"/>
      <c r="DH61" s="1175"/>
      <c r="DI61" s="1175"/>
      <c r="DJ61" s="1175"/>
      <c r="DK61" s="1175"/>
      <c r="DL61" s="1175"/>
      <c r="DM61" s="1175"/>
      <c r="DN61" s="1175"/>
      <c r="DO61" s="1175"/>
      <c r="DP61" s="1175"/>
      <c r="DQ61" s="1175"/>
      <c r="DR61" s="1175"/>
      <c r="DS61" s="1175"/>
    </row>
    <row r="62" spans="1:123" s="1187" customFormat="1" ht="18" customHeight="1" x14ac:dyDescent="0.3">
      <c r="E62" s="1175"/>
      <c r="F62" s="1175"/>
      <c r="G62" s="1175"/>
      <c r="H62" s="1175"/>
      <c r="I62" s="1175"/>
      <c r="J62" s="1175"/>
      <c r="K62" s="1175"/>
      <c r="L62" s="1175"/>
      <c r="M62" s="1175"/>
      <c r="N62" s="1175"/>
      <c r="O62" s="1175"/>
      <c r="P62" s="1175"/>
      <c r="Q62" s="1175"/>
      <c r="R62" s="1175"/>
      <c r="S62" s="1175"/>
      <c r="T62" s="1175"/>
      <c r="U62" s="1175"/>
      <c r="V62" s="1175"/>
      <c r="W62" s="1175"/>
      <c r="X62" s="1175"/>
      <c r="Y62" s="1175"/>
      <c r="Z62" s="1175"/>
      <c r="AA62" s="1175"/>
      <c r="AB62" s="1175"/>
      <c r="AC62" s="1175"/>
      <c r="AD62" s="1175"/>
      <c r="AE62" s="1175"/>
      <c r="AF62" s="1175"/>
      <c r="AG62" s="1175"/>
      <c r="AH62" s="1175"/>
      <c r="AI62" s="1175"/>
      <c r="AJ62" s="1175"/>
      <c r="AK62" s="1175"/>
      <c r="AL62" s="1175"/>
      <c r="AM62" s="1175"/>
      <c r="AN62" s="1175"/>
      <c r="AO62" s="1175"/>
      <c r="AP62" s="1175"/>
      <c r="AQ62" s="1175"/>
      <c r="AR62" s="1175"/>
      <c r="AS62" s="1175"/>
      <c r="AT62" s="1175"/>
      <c r="AU62" s="1175"/>
      <c r="AV62" s="1175"/>
      <c r="AW62" s="1175"/>
      <c r="AX62" s="1175"/>
      <c r="AY62" s="1175"/>
      <c r="AZ62" s="1175"/>
      <c r="BA62" s="1175"/>
      <c r="BB62" s="1175"/>
      <c r="BC62" s="1175"/>
      <c r="BD62" s="1175"/>
      <c r="BE62" s="1175"/>
      <c r="BF62" s="1175"/>
      <c r="BG62" s="1175"/>
      <c r="BH62" s="1175"/>
      <c r="BI62" s="1175"/>
      <c r="BJ62" s="1175"/>
      <c r="BK62" s="1175"/>
      <c r="BL62" s="1175"/>
      <c r="BM62" s="1175"/>
      <c r="BN62" s="1175"/>
      <c r="BO62" s="1175"/>
      <c r="BP62" s="1175"/>
      <c r="BQ62" s="1175"/>
      <c r="BR62" s="1175"/>
      <c r="BS62" s="1175"/>
      <c r="BT62" s="1175"/>
      <c r="BU62" s="1175"/>
      <c r="BV62" s="1175"/>
      <c r="BW62" s="1175"/>
      <c r="BX62" s="1175"/>
      <c r="BY62" s="1175"/>
      <c r="BZ62" s="1175"/>
      <c r="CA62" s="1175"/>
      <c r="CB62" s="1175"/>
      <c r="CC62" s="1175"/>
      <c r="CD62" s="1175"/>
      <c r="CE62" s="1175"/>
      <c r="CF62" s="1175"/>
      <c r="CG62" s="1175"/>
      <c r="CH62" s="1175"/>
      <c r="CI62" s="1175"/>
      <c r="CJ62" s="1175"/>
      <c r="CK62" s="1175"/>
      <c r="CL62" s="1175"/>
      <c r="CM62" s="1175"/>
      <c r="CN62" s="1175"/>
      <c r="CO62" s="1175"/>
      <c r="CP62" s="1175"/>
      <c r="CQ62" s="1175"/>
      <c r="CR62" s="1175"/>
      <c r="CS62" s="1175"/>
      <c r="CT62" s="1175"/>
      <c r="CU62" s="1175"/>
      <c r="CV62" s="1175"/>
      <c r="CW62" s="1175"/>
      <c r="CX62" s="1175"/>
      <c r="CY62" s="1175"/>
      <c r="CZ62" s="1175"/>
      <c r="DA62" s="1175"/>
      <c r="DB62" s="1175"/>
      <c r="DC62" s="1175"/>
      <c r="DD62" s="1175"/>
      <c r="DE62" s="1175"/>
      <c r="DF62" s="1175"/>
      <c r="DG62" s="1175"/>
      <c r="DH62" s="1175"/>
      <c r="DI62" s="1175"/>
      <c r="DJ62" s="1175"/>
      <c r="DK62" s="1175"/>
      <c r="DL62" s="1175"/>
      <c r="DM62" s="1175"/>
      <c r="DN62" s="1175"/>
      <c r="DO62" s="1175"/>
      <c r="DP62" s="1175"/>
      <c r="DQ62" s="1175"/>
      <c r="DR62" s="1175"/>
      <c r="DS62" s="1175"/>
    </row>
    <row r="63" spans="1:123" s="1187" customFormat="1" ht="18" customHeight="1" x14ac:dyDescent="0.3">
      <c r="E63" s="1175"/>
      <c r="F63" s="1175"/>
      <c r="G63" s="1175"/>
      <c r="H63" s="1175"/>
      <c r="I63" s="1175"/>
      <c r="J63" s="1175"/>
      <c r="K63" s="1175"/>
      <c r="L63" s="1175"/>
      <c r="M63" s="1175"/>
      <c r="N63" s="1175"/>
      <c r="O63" s="1175"/>
      <c r="P63" s="1175"/>
      <c r="Q63" s="1175"/>
      <c r="R63" s="1175"/>
      <c r="S63" s="1175"/>
      <c r="T63" s="1175"/>
      <c r="U63" s="1175"/>
      <c r="V63" s="1175"/>
      <c r="W63" s="1175"/>
      <c r="X63" s="1175"/>
      <c r="Y63" s="1175"/>
      <c r="Z63" s="1175"/>
      <c r="AA63" s="1175"/>
      <c r="AB63" s="1175"/>
      <c r="AC63" s="1175"/>
      <c r="AD63" s="1175"/>
      <c r="AE63" s="1175"/>
      <c r="AF63" s="1175"/>
      <c r="AG63" s="1175"/>
      <c r="AH63" s="1175"/>
      <c r="AI63" s="1175"/>
      <c r="AJ63" s="1175"/>
      <c r="AK63" s="1175"/>
      <c r="AL63" s="1175"/>
      <c r="AM63" s="1175"/>
      <c r="AN63" s="1175"/>
      <c r="AO63" s="1175"/>
      <c r="AP63" s="1175"/>
      <c r="AQ63" s="1175"/>
      <c r="AR63" s="1175"/>
      <c r="AS63" s="1175"/>
      <c r="AT63" s="1175"/>
      <c r="AU63" s="1175"/>
      <c r="AV63" s="1175"/>
      <c r="AW63" s="1175"/>
      <c r="AX63" s="1175"/>
      <c r="AY63" s="1175"/>
      <c r="AZ63" s="1175"/>
      <c r="BA63" s="1175"/>
      <c r="BB63" s="1175"/>
      <c r="BC63" s="1175"/>
      <c r="BD63" s="1175"/>
      <c r="BE63" s="1175"/>
      <c r="BF63" s="1175"/>
      <c r="BG63" s="1175"/>
      <c r="BH63" s="1175"/>
      <c r="BI63" s="1175"/>
      <c r="BJ63" s="1175"/>
      <c r="BK63" s="1175"/>
      <c r="BL63" s="1175"/>
      <c r="BM63" s="1175"/>
      <c r="BN63" s="1175"/>
      <c r="BO63" s="1175"/>
      <c r="BP63" s="1175"/>
      <c r="BQ63" s="1175"/>
      <c r="BR63" s="1175"/>
      <c r="BS63" s="1175"/>
      <c r="BT63" s="1175"/>
      <c r="BU63" s="1175"/>
      <c r="BV63" s="1175"/>
      <c r="BW63" s="1175"/>
      <c r="BX63" s="1175"/>
      <c r="BY63" s="1175"/>
      <c r="BZ63" s="1175"/>
      <c r="CA63" s="1175"/>
      <c r="CB63" s="1175"/>
      <c r="CC63" s="1175"/>
      <c r="CD63" s="1175"/>
      <c r="CE63" s="1175"/>
      <c r="CF63" s="1175"/>
      <c r="CG63" s="1175"/>
      <c r="CH63" s="1175"/>
      <c r="CI63" s="1175"/>
      <c r="CJ63" s="1175"/>
      <c r="CK63" s="1175"/>
      <c r="CL63" s="1175"/>
      <c r="CM63" s="1175"/>
      <c r="CN63" s="1175"/>
      <c r="CO63" s="1175"/>
      <c r="CP63" s="1175"/>
      <c r="CQ63" s="1175"/>
      <c r="CR63" s="1175"/>
      <c r="CS63" s="1175"/>
      <c r="CT63" s="1175"/>
      <c r="CU63" s="1175"/>
      <c r="CV63" s="1175"/>
      <c r="CW63" s="1175"/>
      <c r="CX63" s="1175"/>
      <c r="CY63" s="1175"/>
      <c r="CZ63" s="1175"/>
      <c r="DA63" s="1175"/>
      <c r="DB63" s="1175"/>
      <c r="DC63" s="1175"/>
      <c r="DD63" s="1175"/>
      <c r="DE63" s="1175"/>
      <c r="DF63" s="1175"/>
      <c r="DG63" s="1175"/>
      <c r="DH63" s="1175"/>
      <c r="DI63" s="1175"/>
      <c r="DJ63" s="1175"/>
      <c r="DK63" s="1175"/>
      <c r="DL63" s="1175"/>
      <c r="DM63" s="1175"/>
      <c r="DN63" s="1175"/>
      <c r="DO63" s="1175"/>
      <c r="DP63" s="1175"/>
      <c r="DQ63" s="1175"/>
      <c r="DR63" s="1175"/>
      <c r="DS63" s="1175"/>
    </row>
    <row r="64" spans="1:123" s="1187" customFormat="1" ht="18" customHeight="1" x14ac:dyDescent="0.3">
      <c r="E64" s="1175"/>
      <c r="F64" s="1175"/>
      <c r="G64" s="1175"/>
      <c r="H64" s="1175"/>
      <c r="I64" s="1175"/>
      <c r="J64" s="1175"/>
      <c r="K64" s="1175"/>
      <c r="L64" s="1175"/>
      <c r="M64" s="1175"/>
      <c r="N64" s="1175"/>
      <c r="O64" s="1175"/>
      <c r="P64" s="1175"/>
      <c r="Q64" s="1175"/>
      <c r="R64" s="1175"/>
      <c r="S64" s="1175"/>
      <c r="T64" s="1175"/>
      <c r="U64" s="1175"/>
      <c r="V64" s="1175"/>
      <c r="W64" s="1175"/>
      <c r="X64" s="1175"/>
      <c r="Y64" s="1175"/>
      <c r="Z64" s="1175"/>
      <c r="AA64" s="1175"/>
      <c r="AB64" s="1175"/>
      <c r="AC64" s="1175"/>
      <c r="AD64" s="1175"/>
      <c r="AE64" s="1175"/>
      <c r="AF64" s="1175"/>
      <c r="AG64" s="1175"/>
      <c r="AH64" s="1175"/>
      <c r="AI64" s="1175"/>
      <c r="AJ64" s="1175"/>
      <c r="AK64" s="1175"/>
      <c r="AL64" s="1175"/>
      <c r="AM64" s="1175"/>
      <c r="AN64" s="1175"/>
      <c r="AO64" s="1175"/>
      <c r="AP64" s="1175"/>
      <c r="AQ64" s="1175"/>
      <c r="AR64" s="1175"/>
      <c r="AS64" s="1175"/>
      <c r="AT64" s="1175"/>
      <c r="AU64" s="1175"/>
      <c r="AV64" s="1175"/>
      <c r="AW64" s="1175"/>
      <c r="AX64" s="1175"/>
      <c r="AY64" s="1175"/>
      <c r="AZ64" s="1175"/>
      <c r="BA64" s="1175"/>
      <c r="BB64" s="1175"/>
      <c r="BC64" s="1175"/>
      <c r="BD64" s="1175"/>
      <c r="BE64" s="1175"/>
      <c r="BF64" s="1175"/>
      <c r="BG64" s="1175"/>
      <c r="BH64" s="1175"/>
      <c r="BI64" s="1175"/>
      <c r="BJ64" s="1175"/>
      <c r="BK64" s="1175"/>
      <c r="BL64" s="1175"/>
      <c r="BM64" s="1175"/>
      <c r="BN64" s="1175"/>
      <c r="BO64" s="1175"/>
      <c r="BP64" s="1175"/>
      <c r="BQ64" s="1175"/>
      <c r="BR64" s="1175"/>
      <c r="BS64" s="1175"/>
      <c r="BT64" s="1175"/>
      <c r="BU64" s="1175"/>
      <c r="BV64" s="1175"/>
      <c r="BW64" s="1175"/>
      <c r="BX64" s="1175"/>
      <c r="BY64" s="1175"/>
      <c r="BZ64" s="1175"/>
      <c r="CA64" s="1175"/>
      <c r="CB64" s="1175"/>
      <c r="CC64" s="1175"/>
      <c r="CD64" s="1175"/>
      <c r="CE64" s="1175"/>
      <c r="CF64" s="1175"/>
      <c r="CG64" s="1175"/>
      <c r="CH64" s="1175"/>
      <c r="CI64" s="1175"/>
      <c r="CJ64" s="1175"/>
      <c r="CK64" s="1175"/>
      <c r="CL64" s="1175"/>
      <c r="CM64" s="1175"/>
      <c r="CN64" s="1175"/>
      <c r="CO64" s="1175"/>
      <c r="CP64" s="1175"/>
      <c r="CQ64" s="1175"/>
      <c r="CR64" s="1175"/>
      <c r="CS64" s="1175"/>
      <c r="CT64" s="1175"/>
      <c r="CU64" s="1175"/>
      <c r="CV64" s="1175"/>
      <c r="CW64" s="1175"/>
      <c r="CX64" s="1175"/>
      <c r="CY64" s="1175"/>
      <c r="CZ64" s="1175"/>
      <c r="DA64" s="1175"/>
      <c r="DB64" s="1175"/>
      <c r="DC64" s="1175"/>
      <c r="DD64" s="1175"/>
      <c r="DE64" s="1175"/>
      <c r="DF64" s="1175"/>
      <c r="DG64" s="1175"/>
      <c r="DH64" s="1175"/>
      <c r="DI64" s="1175"/>
      <c r="DJ64" s="1175"/>
      <c r="DK64" s="1175"/>
      <c r="DL64" s="1175"/>
      <c r="DM64" s="1175"/>
      <c r="DN64" s="1175"/>
      <c r="DO64" s="1175"/>
      <c r="DP64" s="1175"/>
      <c r="DQ64" s="1175"/>
      <c r="DR64" s="1175"/>
      <c r="DS64" s="1175"/>
    </row>
    <row r="65" spans="5:123" s="1187" customFormat="1" ht="18" customHeight="1" x14ac:dyDescent="0.3">
      <c r="E65" s="1175"/>
      <c r="F65" s="1175"/>
      <c r="G65" s="1175"/>
      <c r="H65" s="1175"/>
      <c r="I65" s="1175"/>
      <c r="J65" s="1175"/>
      <c r="K65" s="1175"/>
      <c r="L65" s="1175"/>
      <c r="M65" s="1175"/>
      <c r="N65" s="1175"/>
      <c r="O65" s="1175"/>
      <c r="P65" s="1175"/>
      <c r="Q65" s="1175"/>
      <c r="R65" s="1175"/>
      <c r="S65" s="1175"/>
      <c r="T65" s="1175"/>
      <c r="U65" s="1175"/>
      <c r="V65" s="1175"/>
      <c r="W65" s="1175"/>
      <c r="X65" s="1175"/>
      <c r="Y65" s="1175"/>
      <c r="Z65" s="1175"/>
      <c r="AA65" s="1175"/>
      <c r="AB65" s="1175"/>
      <c r="AC65" s="1175"/>
      <c r="AD65" s="1175"/>
      <c r="AE65" s="1175"/>
      <c r="AF65" s="1175"/>
      <c r="AG65" s="1175"/>
      <c r="AH65" s="1175"/>
      <c r="AI65" s="1175"/>
      <c r="AJ65" s="1175"/>
      <c r="AK65" s="1175"/>
      <c r="AL65" s="1175"/>
      <c r="AM65" s="1175"/>
      <c r="AN65" s="1175"/>
      <c r="AO65" s="1175"/>
      <c r="AP65" s="1175"/>
      <c r="AQ65" s="1175"/>
      <c r="AR65" s="1175"/>
      <c r="AS65" s="1175"/>
      <c r="AT65" s="1175"/>
      <c r="AU65" s="1175"/>
      <c r="AV65" s="1175"/>
      <c r="AW65" s="1175"/>
      <c r="AX65" s="1175"/>
      <c r="AY65" s="1175"/>
      <c r="AZ65" s="1175"/>
      <c r="BA65" s="1175"/>
      <c r="BB65" s="1175"/>
      <c r="BC65" s="1175"/>
      <c r="BD65" s="1175"/>
      <c r="BE65" s="1175"/>
      <c r="BF65" s="1175"/>
      <c r="BG65" s="1175"/>
      <c r="BH65" s="1175"/>
      <c r="BI65" s="1175"/>
      <c r="BJ65" s="1175"/>
      <c r="BK65" s="1175"/>
      <c r="BL65" s="1175"/>
      <c r="BM65" s="1175"/>
      <c r="BN65" s="1175"/>
      <c r="BO65" s="1175"/>
      <c r="BP65" s="1175"/>
      <c r="BQ65" s="1175"/>
      <c r="BR65" s="1175"/>
      <c r="BS65" s="1175"/>
      <c r="BT65" s="1175"/>
      <c r="BU65" s="1175"/>
      <c r="BV65" s="1175"/>
      <c r="BW65" s="1175"/>
      <c r="BX65" s="1175"/>
      <c r="BY65" s="1175"/>
      <c r="BZ65" s="1175"/>
      <c r="CA65" s="1175"/>
      <c r="CB65" s="1175"/>
      <c r="CC65" s="1175"/>
      <c r="CD65" s="1175"/>
      <c r="CE65" s="1175"/>
      <c r="CF65" s="1175"/>
      <c r="CG65" s="1175"/>
      <c r="CH65" s="1175"/>
      <c r="CI65" s="1175"/>
      <c r="CJ65" s="1175"/>
      <c r="CK65" s="1175"/>
      <c r="CL65" s="1175"/>
      <c r="CM65" s="1175"/>
      <c r="CN65" s="1175"/>
      <c r="CO65" s="1175"/>
      <c r="CP65" s="1175"/>
      <c r="CQ65" s="1175"/>
      <c r="CR65" s="1175"/>
      <c r="CS65" s="1175"/>
      <c r="CT65" s="1175"/>
      <c r="CU65" s="1175"/>
      <c r="CV65" s="1175"/>
      <c r="CW65" s="1175"/>
      <c r="CX65" s="1175"/>
      <c r="CY65" s="1175"/>
      <c r="CZ65" s="1175"/>
      <c r="DA65" s="1175"/>
      <c r="DB65" s="1175"/>
      <c r="DC65" s="1175"/>
      <c r="DD65" s="1175"/>
      <c r="DE65" s="1175"/>
      <c r="DF65" s="1175"/>
      <c r="DG65" s="1175"/>
      <c r="DH65" s="1175"/>
      <c r="DI65" s="1175"/>
      <c r="DJ65" s="1175"/>
      <c r="DK65" s="1175"/>
      <c r="DL65" s="1175"/>
      <c r="DM65" s="1175"/>
      <c r="DN65" s="1175"/>
      <c r="DO65" s="1175"/>
      <c r="DP65" s="1175"/>
      <c r="DQ65" s="1175"/>
      <c r="DR65" s="1175"/>
      <c r="DS65" s="1175"/>
    </row>
    <row r="66" spans="5:123" s="1187" customFormat="1" ht="18" customHeight="1" x14ac:dyDescent="0.3">
      <c r="E66" s="1175"/>
      <c r="F66" s="1175"/>
      <c r="G66" s="1175"/>
      <c r="H66" s="1175"/>
      <c r="I66" s="1175"/>
      <c r="J66" s="1175"/>
      <c r="K66" s="1175"/>
      <c r="L66" s="1175"/>
      <c r="M66" s="1175"/>
      <c r="N66" s="1175"/>
      <c r="O66" s="1175"/>
      <c r="P66" s="1175"/>
      <c r="Q66" s="1175"/>
      <c r="R66" s="1175"/>
      <c r="S66" s="1175"/>
      <c r="T66" s="1175"/>
      <c r="U66" s="1175"/>
      <c r="V66" s="1175"/>
      <c r="W66" s="1175"/>
      <c r="X66" s="1175"/>
      <c r="Y66" s="1175"/>
      <c r="Z66" s="1175"/>
      <c r="AA66" s="1175"/>
      <c r="AB66" s="1175"/>
      <c r="AC66" s="1175"/>
      <c r="AD66" s="1175"/>
      <c r="AE66" s="1175"/>
      <c r="AF66" s="1175"/>
      <c r="AG66" s="1175"/>
      <c r="AH66" s="1175"/>
      <c r="AI66" s="1175"/>
      <c r="AJ66" s="1175"/>
      <c r="AK66" s="1175"/>
      <c r="AL66" s="1175"/>
      <c r="AM66" s="1175"/>
      <c r="AN66" s="1175"/>
      <c r="AO66" s="1175"/>
      <c r="AP66" s="1175"/>
      <c r="AQ66" s="1175"/>
      <c r="AR66" s="1175"/>
      <c r="AS66" s="1175"/>
      <c r="AT66" s="1175"/>
      <c r="AU66" s="1175"/>
      <c r="AV66" s="1175"/>
      <c r="AW66" s="1175"/>
      <c r="AX66" s="1175"/>
      <c r="AY66" s="1175"/>
      <c r="AZ66" s="1175"/>
      <c r="BA66" s="1175"/>
      <c r="BB66" s="1175"/>
      <c r="BC66" s="1175"/>
      <c r="BD66" s="1175"/>
      <c r="BE66" s="1175"/>
      <c r="BF66" s="1175"/>
      <c r="BG66" s="1175"/>
      <c r="BH66" s="1175"/>
      <c r="BI66" s="1175"/>
      <c r="BJ66" s="1175"/>
      <c r="BK66" s="1175"/>
      <c r="BL66" s="1175"/>
      <c r="BM66" s="1175"/>
      <c r="BN66" s="1175"/>
      <c r="BO66" s="1175"/>
      <c r="BP66" s="1175"/>
      <c r="BQ66" s="1175"/>
      <c r="BR66" s="1175"/>
      <c r="BS66" s="1175"/>
      <c r="BT66" s="1175"/>
      <c r="BU66" s="1175"/>
      <c r="BV66" s="1175"/>
      <c r="BW66" s="1175"/>
      <c r="BX66" s="1175"/>
      <c r="BY66" s="1175"/>
      <c r="BZ66" s="1175"/>
      <c r="CA66" s="1175"/>
      <c r="CB66" s="1175"/>
      <c r="CC66" s="1175"/>
      <c r="CD66" s="1175"/>
      <c r="CE66" s="1175"/>
      <c r="CF66" s="1175"/>
      <c r="CG66" s="1175"/>
      <c r="CH66" s="1175"/>
      <c r="CI66" s="1175"/>
      <c r="CJ66" s="1175"/>
      <c r="CK66" s="1175"/>
      <c r="CL66" s="1175"/>
      <c r="CM66" s="1175"/>
      <c r="CN66" s="1175"/>
      <c r="CO66" s="1175"/>
      <c r="CP66" s="1175"/>
      <c r="CQ66" s="1175"/>
      <c r="CR66" s="1175"/>
      <c r="CS66" s="1175"/>
      <c r="CT66" s="1175"/>
      <c r="CU66" s="1175"/>
      <c r="CV66" s="1175"/>
      <c r="CW66" s="1175"/>
      <c r="CX66" s="1175"/>
      <c r="CY66" s="1175"/>
      <c r="CZ66" s="1175"/>
      <c r="DA66" s="1175"/>
      <c r="DB66" s="1175"/>
      <c r="DC66" s="1175"/>
      <c r="DD66" s="1175"/>
      <c r="DE66" s="1175"/>
      <c r="DF66" s="1175"/>
      <c r="DG66" s="1175"/>
      <c r="DH66" s="1175"/>
      <c r="DI66" s="1175"/>
      <c r="DJ66" s="1175"/>
      <c r="DK66" s="1175"/>
      <c r="DL66" s="1175"/>
      <c r="DM66" s="1175"/>
      <c r="DN66" s="1175"/>
      <c r="DO66" s="1175"/>
      <c r="DP66" s="1175"/>
      <c r="DQ66" s="1175"/>
      <c r="DR66" s="1175"/>
      <c r="DS66" s="1175"/>
    </row>
    <row r="67" spans="5:123" s="1187" customFormat="1" ht="18" customHeight="1" x14ac:dyDescent="0.3">
      <c r="E67" s="1175"/>
      <c r="F67" s="1175"/>
      <c r="G67" s="1175"/>
      <c r="H67" s="1175"/>
      <c r="I67" s="1175"/>
      <c r="J67" s="1175"/>
      <c r="K67" s="1175"/>
      <c r="L67" s="1175"/>
      <c r="M67" s="1175"/>
      <c r="N67" s="1175"/>
      <c r="O67" s="1175"/>
      <c r="P67" s="1175"/>
      <c r="Q67" s="1175"/>
      <c r="R67" s="1175"/>
      <c r="S67" s="1175"/>
      <c r="T67" s="1175"/>
      <c r="U67" s="1175"/>
      <c r="V67" s="1175"/>
      <c r="W67" s="1175"/>
      <c r="X67" s="1175"/>
      <c r="Y67" s="1175"/>
      <c r="Z67" s="1175"/>
      <c r="AA67" s="1175"/>
      <c r="AB67" s="1175"/>
      <c r="AC67" s="1175"/>
      <c r="AD67" s="1175"/>
      <c r="AE67" s="1175"/>
      <c r="AF67" s="1175"/>
      <c r="AG67" s="1175"/>
      <c r="AH67" s="1175"/>
      <c r="AI67" s="1175"/>
      <c r="AJ67" s="1175"/>
      <c r="AK67" s="1175"/>
      <c r="AL67" s="1175"/>
      <c r="AM67" s="1175"/>
      <c r="AN67" s="1175"/>
      <c r="AO67" s="1175"/>
      <c r="AP67" s="1175"/>
      <c r="AQ67" s="1175"/>
      <c r="AR67" s="1175"/>
      <c r="AS67" s="1175"/>
      <c r="AT67" s="1175"/>
      <c r="AU67" s="1175"/>
      <c r="AV67" s="1175"/>
      <c r="AW67" s="1175"/>
      <c r="AX67" s="1175"/>
      <c r="AY67" s="1175"/>
      <c r="AZ67" s="1175"/>
      <c r="BA67" s="1175"/>
      <c r="BB67" s="1175"/>
      <c r="BC67" s="1175"/>
      <c r="BD67" s="1175"/>
      <c r="BE67" s="1175"/>
      <c r="BF67" s="1175"/>
      <c r="BG67" s="1175"/>
      <c r="BH67" s="1175"/>
      <c r="BI67" s="1175"/>
      <c r="BJ67" s="1175"/>
      <c r="BK67" s="1175"/>
      <c r="BL67" s="1175"/>
      <c r="BM67" s="1175"/>
      <c r="BN67" s="1175"/>
      <c r="BO67" s="1175"/>
      <c r="BP67" s="1175"/>
      <c r="BQ67" s="1175"/>
      <c r="BR67" s="1175"/>
      <c r="BS67" s="1175"/>
      <c r="BT67" s="1175"/>
      <c r="BU67" s="1175"/>
      <c r="BV67" s="1175"/>
      <c r="BW67" s="1175"/>
      <c r="BX67" s="1175"/>
      <c r="BY67" s="1175"/>
      <c r="BZ67" s="1175"/>
      <c r="CA67" s="1175"/>
      <c r="CB67" s="1175"/>
      <c r="CC67" s="1175"/>
      <c r="CD67" s="1175"/>
      <c r="CE67" s="1175"/>
      <c r="CF67" s="1175"/>
      <c r="CG67" s="1175"/>
      <c r="CH67" s="1175"/>
      <c r="CI67" s="1175"/>
      <c r="CJ67" s="1175"/>
      <c r="CK67" s="1175"/>
      <c r="CL67" s="1175"/>
      <c r="CM67" s="1175"/>
      <c r="CN67" s="1175"/>
      <c r="CO67" s="1175"/>
      <c r="CP67" s="1175"/>
      <c r="CQ67" s="1175"/>
      <c r="CR67" s="1175"/>
      <c r="CS67" s="1175"/>
      <c r="CT67" s="1175"/>
      <c r="CU67" s="1175"/>
      <c r="CV67" s="1175"/>
      <c r="CW67" s="1175"/>
      <c r="CX67" s="1175"/>
      <c r="CY67" s="1175"/>
      <c r="CZ67" s="1175"/>
      <c r="DA67" s="1175"/>
      <c r="DB67" s="1175"/>
      <c r="DC67" s="1175"/>
      <c r="DD67" s="1175"/>
      <c r="DE67" s="1175"/>
      <c r="DF67" s="1175"/>
      <c r="DG67" s="1175"/>
      <c r="DH67" s="1175"/>
      <c r="DI67" s="1175"/>
      <c r="DJ67" s="1175"/>
      <c r="DK67" s="1175"/>
      <c r="DL67" s="1175"/>
      <c r="DM67" s="1175"/>
      <c r="DN67" s="1175"/>
      <c r="DO67" s="1175"/>
      <c r="DP67" s="1175"/>
      <c r="DQ67" s="1175"/>
      <c r="DR67" s="1175"/>
      <c r="DS67" s="1175"/>
    </row>
    <row r="68" spans="5:123" s="1187" customFormat="1" ht="18" customHeight="1" x14ac:dyDescent="0.3">
      <c r="E68" s="1175"/>
      <c r="F68" s="1175"/>
      <c r="G68" s="1175"/>
      <c r="H68" s="1175"/>
      <c r="I68" s="1175"/>
      <c r="J68" s="1175"/>
      <c r="K68" s="1175"/>
      <c r="L68" s="1175"/>
      <c r="M68" s="1175"/>
      <c r="N68" s="1175"/>
      <c r="O68" s="1175"/>
      <c r="P68" s="1175"/>
      <c r="Q68" s="1175"/>
      <c r="R68" s="1175"/>
      <c r="S68" s="1175"/>
      <c r="T68" s="1175"/>
      <c r="U68" s="1175"/>
      <c r="V68" s="1175"/>
      <c r="W68" s="1175"/>
      <c r="X68" s="1175"/>
      <c r="Y68" s="1175"/>
      <c r="Z68" s="1175"/>
      <c r="AA68" s="1175"/>
      <c r="AB68" s="1175"/>
      <c r="AC68" s="1175"/>
      <c r="AD68" s="1175"/>
      <c r="AE68" s="1175"/>
      <c r="AF68" s="1175"/>
      <c r="AG68" s="1175"/>
      <c r="AH68" s="1175"/>
      <c r="AI68" s="1175"/>
      <c r="AJ68" s="1175"/>
      <c r="AK68" s="1175"/>
      <c r="AL68" s="1175"/>
      <c r="AM68" s="1175"/>
      <c r="AN68" s="1175"/>
      <c r="AO68" s="1175"/>
      <c r="AP68" s="1175"/>
      <c r="AQ68" s="1175"/>
      <c r="AR68" s="1175"/>
      <c r="AS68" s="1175"/>
      <c r="AT68" s="1175"/>
      <c r="AU68" s="1175"/>
      <c r="AV68" s="1175"/>
      <c r="AW68" s="1175"/>
      <c r="AX68" s="1175"/>
      <c r="AY68" s="1175"/>
      <c r="AZ68" s="1175"/>
      <c r="BA68" s="1175"/>
      <c r="BB68" s="1175"/>
      <c r="BC68" s="1175"/>
      <c r="BD68" s="1175"/>
      <c r="BE68" s="1175"/>
      <c r="BF68" s="1175"/>
      <c r="BG68" s="1175"/>
      <c r="BH68" s="1175"/>
      <c r="BI68" s="1175"/>
      <c r="BJ68" s="1175"/>
      <c r="BK68" s="1175"/>
      <c r="BL68" s="1175"/>
      <c r="BM68" s="1175"/>
      <c r="BN68" s="1175"/>
      <c r="BO68" s="1175"/>
      <c r="BP68" s="1175"/>
      <c r="BQ68" s="1175"/>
      <c r="BR68" s="1175"/>
      <c r="BS68" s="1175"/>
      <c r="BT68" s="1175"/>
      <c r="BU68" s="1175"/>
      <c r="BV68" s="1175"/>
      <c r="BW68" s="1175"/>
      <c r="BX68" s="1175"/>
      <c r="BY68" s="1175"/>
      <c r="BZ68" s="1175"/>
      <c r="CA68" s="1175"/>
      <c r="CB68" s="1175"/>
      <c r="CC68" s="1175"/>
      <c r="CD68" s="1175"/>
      <c r="CE68" s="1175"/>
      <c r="CF68" s="1175"/>
      <c r="CG68" s="1175"/>
      <c r="CH68" s="1175"/>
      <c r="CI68" s="1175"/>
      <c r="CJ68" s="1175"/>
      <c r="CK68" s="1175"/>
      <c r="CL68" s="1175"/>
      <c r="CM68" s="1175"/>
      <c r="CN68" s="1175"/>
      <c r="CO68" s="1175"/>
      <c r="CP68" s="1175"/>
      <c r="CQ68" s="1175"/>
      <c r="CR68" s="1175"/>
      <c r="CS68" s="1175"/>
      <c r="CT68" s="1175"/>
      <c r="CU68" s="1175"/>
      <c r="CV68" s="1175"/>
      <c r="CW68" s="1175"/>
      <c r="CX68" s="1175"/>
      <c r="CY68" s="1175"/>
      <c r="CZ68" s="1175"/>
      <c r="DA68" s="1175"/>
      <c r="DB68" s="1175"/>
      <c r="DC68" s="1175"/>
      <c r="DD68" s="1175"/>
      <c r="DE68" s="1175"/>
      <c r="DF68" s="1175"/>
      <c r="DG68" s="1175"/>
      <c r="DH68" s="1175"/>
      <c r="DI68" s="1175"/>
      <c r="DJ68" s="1175"/>
      <c r="DK68" s="1175"/>
      <c r="DL68" s="1175"/>
      <c r="DM68" s="1175"/>
      <c r="DN68" s="1175"/>
      <c r="DO68" s="1175"/>
      <c r="DP68" s="1175"/>
      <c r="DQ68" s="1175"/>
      <c r="DR68" s="1175"/>
      <c r="DS68" s="1175"/>
    </row>
    <row r="69" spans="5:123" s="1187" customFormat="1" ht="18" customHeight="1" x14ac:dyDescent="0.3">
      <c r="E69" s="1175"/>
      <c r="F69" s="1175"/>
      <c r="G69" s="1175"/>
      <c r="H69" s="1175"/>
      <c r="I69" s="1175"/>
      <c r="J69" s="1175"/>
      <c r="K69" s="1175"/>
      <c r="L69" s="1175"/>
      <c r="M69" s="1175"/>
      <c r="N69" s="1175"/>
      <c r="O69" s="1175"/>
      <c r="P69" s="1175"/>
      <c r="Q69" s="1175"/>
      <c r="R69" s="1175"/>
      <c r="S69" s="1175"/>
      <c r="T69" s="1175"/>
      <c r="U69" s="1175"/>
      <c r="V69" s="1175"/>
      <c r="W69" s="1175"/>
      <c r="X69" s="1175"/>
      <c r="Y69" s="1175"/>
      <c r="Z69" s="1175"/>
      <c r="AA69" s="1175"/>
      <c r="AB69" s="1175"/>
      <c r="AC69" s="1175"/>
      <c r="AD69" s="1175"/>
      <c r="AE69" s="1175"/>
      <c r="AF69" s="1175"/>
      <c r="AG69" s="1175"/>
      <c r="AH69" s="1175"/>
      <c r="AI69" s="1175"/>
      <c r="AJ69" s="1175"/>
      <c r="AK69" s="1175"/>
      <c r="AL69" s="1175"/>
      <c r="AM69" s="1175"/>
      <c r="AN69" s="1175"/>
      <c r="AO69" s="1175"/>
      <c r="AP69" s="1175"/>
      <c r="AQ69" s="1175"/>
      <c r="AR69" s="1175"/>
      <c r="AS69" s="1175"/>
      <c r="AT69" s="1175"/>
      <c r="AU69" s="1175"/>
      <c r="AV69" s="1175"/>
      <c r="AW69" s="1175"/>
      <c r="AX69" s="1175"/>
      <c r="AY69" s="1175"/>
      <c r="AZ69" s="1175"/>
      <c r="BA69" s="1175"/>
      <c r="BB69" s="1175"/>
      <c r="BC69" s="1175"/>
      <c r="BD69" s="1175"/>
      <c r="BE69" s="1175"/>
      <c r="BF69" s="1175"/>
      <c r="BG69" s="1175"/>
      <c r="BH69" s="1175"/>
      <c r="BI69" s="1175"/>
      <c r="BJ69" s="1175"/>
      <c r="BK69" s="1175"/>
      <c r="BL69" s="1175"/>
      <c r="BM69" s="1175"/>
      <c r="BN69" s="1175"/>
      <c r="BO69" s="1175"/>
      <c r="BP69" s="1175"/>
      <c r="BQ69" s="1175"/>
      <c r="BR69" s="1175"/>
      <c r="BS69" s="1175"/>
      <c r="BT69" s="1175"/>
      <c r="BU69" s="1175"/>
      <c r="BV69" s="1175"/>
      <c r="BW69" s="1175"/>
      <c r="BX69" s="1175"/>
      <c r="BY69" s="1175"/>
      <c r="BZ69" s="1175"/>
      <c r="CA69" s="1175"/>
      <c r="CB69" s="1175"/>
      <c r="CC69" s="1175"/>
      <c r="CD69" s="1175"/>
      <c r="CE69" s="1175"/>
      <c r="CF69" s="1175"/>
      <c r="CG69" s="1175"/>
      <c r="CH69" s="1175"/>
      <c r="CI69" s="1175"/>
      <c r="CJ69" s="1175"/>
      <c r="CK69" s="1175"/>
      <c r="CL69" s="1175"/>
      <c r="CM69" s="1175"/>
      <c r="CN69" s="1175"/>
      <c r="CO69" s="1175"/>
      <c r="CP69" s="1175"/>
      <c r="CQ69" s="1175"/>
      <c r="CR69" s="1175"/>
      <c r="CS69" s="1175"/>
      <c r="CT69" s="1175"/>
      <c r="CU69" s="1175"/>
      <c r="CV69" s="1175"/>
      <c r="CW69" s="1175"/>
      <c r="CX69" s="1175"/>
      <c r="CY69" s="1175"/>
      <c r="CZ69" s="1175"/>
      <c r="DA69" s="1175"/>
      <c r="DB69" s="1175"/>
      <c r="DC69" s="1175"/>
      <c r="DD69" s="1175"/>
      <c r="DE69" s="1175"/>
      <c r="DF69" s="1175"/>
      <c r="DG69" s="1175"/>
      <c r="DH69" s="1175"/>
      <c r="DI69" s="1175"/>
      <c r="DJ69" s="1175"/>
      <c r="DK69" s="1175"/>
      <c r="DL69" s="1175"/>
      <c r="DM69" s="1175"/>
      <c r="DN69" s="1175"/>
      <c r="DO69" s="1175"/>
      <c r="DP69" s="1175"/>
      <c r="DQ69" s="1175"/>
      <c r="DR69" s="1175"/>
      <c r="DS69" s="1175"/>
    </row>
    <row r="70" spans="5:123" s="1187" customFormat="1" ht="18" customHeight="1" x14ac:dyDescent="0.3">
      <c r="E70" s="1175"/>
      <c r="F70" s="1175"/>
      <c r="G70" s="1175"/>
      <c r="H70" s="1175"/>
      <c r="I70" s="1175"/>
      <c r="J70" s="1175"/>
      <c r="K70" s="1175"/>
      <c r="L70" s="1175"/>
      <c r="M70" s="1175"/>
      <c r="N70" s="1175"/>
      <c r="O70" s="1175"/>
      <c r="P70" s="1175"/>
      <c r="Q70" s="1175"/>
      <c r="R70" s="1175"/>
      <c r="S70" s="1175"/>
      <c r="T70" s="1175"/>
      <c r="U70" s="1175"/>
      <c r="V70" s="1175"/>
      <c r="W70" s="1175"/>
      <c r="X70" s="1175"/>
      <c r="Y70" s="1175"/>
      <c r="Z70" s="1175"/>
      <c r="AA70" s="1175"/>
      <c r="AB70" s="1175"/>
      <c r="AC70" s="1175"/>
      <c r="AD70" s="1175"/>
      <c r="AE70" s="1175"/>
      <c r="AF70" s="1175"/>
      <c r="AG70" s="1175"/>
      <c r="AH70" s="1175"/>
      <c r="AI70" s="1175"/>
      <c r="AJ70" s="1175"/>
      <c r="AK70" s="1175"/>
      <c r="AL70" s="1175"/>
      <c r="AM70" s="1175"/>
      <c r="AN70" s="1175"/>
      <c r="AO70" s="1175"/>
      <c r="AP70" s="1175"/>
      <c r="AQ70" s="1175"/>
      <c r="AR70" s="1175"/>
      <c r="AS70" s="1175"/>
      <c r="AT70" s="1175"/>
      <c r="AU70" s="1175"/>
      <c r="AV70" s="1175"/>
      <c r="AW70" s="1175"/>
      <c r="AX70" s="1175"/>
      <c r="AY70" s="1175"/>
      <c r="AZ70" s="1175"/>
      <c r="BA70" s="1175"/>
      <c r="BB70" s="1175"/>
      <c r="BC70" s="1175"/>
      <c r="BD70" s="1175"/>
      <c r="BE70" s="1175"/>
      <c r="BF70" s="1175"/>
      <c r="BG70" s="1175"/>
      <c r="BH70" s="1175"/>
      <c r="BI70" s="1175"/>
      <c r="BJ70" s="1175"/>
      <c r="BK70" s="1175"/>
      <c r="BL70" s="1175"/>
      <c r="BM70" s="1175"/>
      <c r="BN70" s="1175"/>
      <c r="BO70" s="1175"/>
      <c r="BP70" s="1175"/>
      <c r="BQ70" s="1175"/>
      <c r="BR70" s="1175"/>
      <c r="BS70" s="1175"/>
      <c r="BT70" s="1175"/>
      <c r="BU70" s="1175"/>
      <c r="BV70" s="1175"/>
      <c r="BW70" s="1175"/>
      <c r="BX70" s="1175"/>
      <c r="BY70" s="1175"/>
      <c r="BZ70" s="1175"/>
      <c r="CA70" s="1175"/>
      <c r="CB70" s="1175"/>
      <c r="CC70" s="1175"/>
      <c r="CD70" s="1175"/>
      <c r="CE70" s="1175"/>
      <c r="CF70" s="1175"/>
      <c r="CG70" s="1175"/>
      <c r="CH70" s="1175"/>
      <c r="CI70" s="1175"/>
      <c r="CJ70" s="1175"/>
      <c r="CK70" s="1175"/>
      <c r="CL70" s="1175"/>
      <c r="CM70" s="1175"/>
      <c r="CN70" s="1175"/>
      <c r="CO70" s="1175"/>
      <c r="CP70" s="1175"/>
      <c r="CQ70" s="1175"/>
      <c r="CR70" s="1175"/>
      <c r="CS70" s="1175"/>
      <c r="CT70" s="1175"/>
      <c r="CU70" s="1175"/>
      <c r="CV70" s="1175"/>
      <c r="CW70" s="1175"/>
      <c r="CX70" s="1175"/>
      <c r="CY70" s="1175"/>
      <c r="CZ70" s="1175"/>
      <c r="DA70" s="1175"/>
      <c r="DB70" s="1175"/>
      <c r="DC70" s="1175"/>
      <c r="DD70" s="1175"/>
      <c r="DE70" s="1175"/>
      <c r="DF70" s="1175"/>
      <c r="DG70" s="1175"/>
      <c r="DH70" s="1175"/>
      <c r="DI70" s="1175"/>
      <c r="DJ70" s="1175"/>
      <c r="DK70" s="1175"/>
      <c r="DL70" s="1175"/>
      <c r="DM70" s="1175"/>
      <c r="DN70" s="1175"/>
      <c r="DO70" s="1175"/>
      <c r="DP70" s="1175"/>
      <c r="DQ70" s="1175"/>
      <c r="DR70" s="1175"/>
      <c r="DS70" s="1175"/>
    </row>
    <row r="71" spans="5:123" s="1187" customFormat="1" ht="18" customHeight="1" x14ac:dyDescent="0.3">
      <c r="E71" s="1175"/>
      <c r="F71" s="1175"/>
      <c r="G71" s="1175"/>
      <c r="H71" s="1175"/>
      <c r="I71" s="1175"/>
      <c r="J71" s="1175"/>
      <c r="K71" s="1175"/>
      <c r="L71" s="1175"/>
      <c r="M71" s="1175"/>
      <c r="N71" s="1175"/>
      <c r="O71" s="1175"/>
      <c r="P71" s="1175"/>
      <c r="Q71" s="1175"/>
      <c r="R71" s="1175"/>
      <c r="S71" s="1175"/>
      <c r="T71" s="1175"/>
      <c r="U71" s="1175"/>
      <c r="V71" s="1175"/>
      <c r="W71" s="1175"/>
      <c r="X71" s="1175"/>
      <c r="Y71" s="1175"/>
      <c r="Z71" s="1175"/>
      <c r="AA71" s="1175"/>
      <c r="AB71" s="1175"/>
      <c r="AC71" s="1175"/>
      <c r="AD71" s="1175"/>
      <c r="AE71" s="1175"/>
      <c r="AF71" s="1175"/>
      <c r="AG71" s="1175"/>
      <c r="AH71" s="1175"/>
      <c r="AI71" s="1175"/>
      <c r="AJ71" s="1175"/>
      <c r="AK71" s="1175"/>
      <c r="AL71" s="1175"/>
      <c r="AM71" s="1175"/>
      <c r="AN71" s="1175"/>
      <c r="AO71" s="1175"/>
      <c r="AP71" s="1175"/>
      <c r="AQ71" s="1175"/>
      <c r="AR71" s="1175"/>
      <c r="AS71" s="1175"/>
      <c r="AT71" s="1175"/>
      <c r="AU71" s="1175"/>
      <c r="AV71" s="1175"/>
      <c r="AW71" s="1175"/>
      <c r="AX71" s="1175"/>
      <c r="AY71" s="1175"/>
      <c r="AZ71" s="1175"/>
      <c r="BA71" s="1175"/>
      <c r="BB71" s="1175"/>
      <c r="BC71" s="1175"/>
      <c r="BD71" s="1175"/>
      <c r="BE71" s="1175"/>
      <c r="BF71" s="1175"/>
      <c r="BG71" s="1175"/>
      <c r="BH71" s="1175"/>
      <c r="BI71" s="1175"/>
      <c r="BJ71" s="1175"/>
      <c r="BK71" s="1175"/>
      <c r="BL71" s="1175"/>
      <c r="BM71" s="1175"/>
      <c r="BN71" s="1175"/>
      <c r="BO71" s="1175"/>
      <c r="BP71" s="1175"/>
      <c r="BQ71" s="1175"/>
      <c r="BR71" s="1175"/>
      <c r="BS71" s="1175"/>
      <c r="BT71" s="1175"/>
      <c r="BU71" s="1175"/>
      <c r="BV71" s="1175"/>
      <c r="BW71" s="1175"/>
      <c r="BX71" s="1175"/>
      <c r="BY71" s="1175"/>
      <c r="BZ71" s="1175"/>
      <c r="CA71" s="1175"/>
      <c r="CB71" s="1175"/>
      <c r="CC71" s="1175"/>
      <c r="CD71" s="1175"/>
      <c r="CE71" s="1175"/>
      <c r="CF71" s="1175"/>
      <c r="CG71" s="1175"/>
      <c r="CH71" s="1175"/>
      <c r="CI71" s="1175"/>
      <c r="CJ71" s="1175"/>
      <c r="CK71" s="1175"/>
      <c r="CL71" s="1175"/>
      <c r="CM71" s="1175"/>
      <c r="CN71" s="1175"/>
      <c r="CO71" s="1175"/>
      <c r="CP71" s="1175"/>
      <c r="CQ71" s="1175"/>
      <c r="CR71" s="1175"/>
      <c r="CS71" s="1175"/>
      <c r="CT71" s="1175"/>
      <c r="CU71" s="1175"/>
      <c r="CV71" s="1175"/>
      <c r="CW71" s="1175"/>
      <c r="CX71" s="1175"/>
      <c r="CY71" s="1175"/>
      <c r="CZ71" s="1175"/>
      <c r="DA71" s="1175"/>
      <c r="DB71" s="1175"/>
      <c r="DC71" s="1175"/>
      <c r="DD71" s="1175"/>
      <c r="DE71" s="1175"/>
      <c r="DF71" s="1175"/>
      <c r="DG71" s="1175"/>
      <c r="DH71" s="1175"/>
      <c r="DI71" s="1175"/>
      <c r="DJ71" s="1175"/>
      <c r="DK71" s="1175"/>
      <c r="DL71" s="1175"/>
      <c r="DM71" s="1175"/>
      <c r="DN71" s="1175"/>
      <c r="DO71" s="1175"/>
      <c r="DP71" s="1175"/>
      <c r="DQ71" s="1175"/>
      <c r="DR71" s="1175"/>
      <c r="DS71" s="1175"/>
    </row>
    <row r="72" spans="5:123" s="1187" customFormat="1" ht="18" customHeight="1" x14ac:dyDescent="0.3">
      <c r="E72" s="1175"/>
      <c r="F72" s="1175"/>
      <c r="G72" s="1175"/>
      <c r="H72" s="1175"/>
      <c r="I72" s="1175"/>
      <c r="J72" s="1175"/>
      <c r="K72" s="1175"/>
      <c r="L72" s="1175"/>
      <c r="M72" s="1175"/>
      <c r="N72" s="1175"/>
      <c r="O72" s="1175"/>
      <c r="P72" s="1175"/>
      <c r="Q72" s="1175"/>
      <c r="R72" s="1175"/>
      <c r="S72" s="1175"/>
      <c r="T72" s="1175"/>
      <c r="U72" s="1175"/>
      <c r="V72" s="1175"/>
      <c r="W72" s="1175"/>
      <c r="X72" s="1175"/>
      <c r="Y72" s="1175"/>
      <c r="Z72" s="1175"/>
      <c r="AA72" s="1175"/>
      <c r="AB72" s="1175"/>
      <c r="AC72" s="1175"/>
      <c r="AD72" s="1175"/>
      <c r="AE72" s="1175"/>
      <c r="AF72" s="1175"/>
      <c r="AG72" s="1175"/>
      <c r="AH72" s="1175"/>
      <c r="AI72" s="1175"/>
      <c r="AJ72" s="1175"/>
      <c r="AK72" s="1175"/>
      <c r="AL72" s="1175"/>
      <c r="AM72" s="1175"/>
      <c r="AN72" s="1175"/>
      <c r="AO72" s="1175"/>
      <c r="AP72" s="1175"/>
      <c r="AQ72" s="1175"/>
      <c r="AR72" s="1175"/>
      <c r="AS72" s="1175"/>
      <c r="AT72" s="1175"/>
      <c r="AU72" s="1175"/>
      <c r="AV72" s="1175"/>
      <c r="AW72" s="1175"/>
      <c r="AX72" s="1175"/>
      <c r="AY72" s="1175"/>
      <c r="AZ72" s="1175"/>
      <c r="BA72" s="1175"/>
      <c r="BB72" s="1175"/>
      <c r="BC72" s="1175"/>
      <c r="BD72" s="1175"/>
      <c r="BE72" s="1175"/>
      <c r="BF72" s="1175"/>
      <c r="BG72" s="1175"/>
      <c r="BH72" s="1175"/>
      <c r="BI72" s="1175"/>
      <c r="BJ72" s="1175"/>
      <c r="BK72" s="1175"/>
      <c r="BL72" s="1175"/>
      <c r="BM72" s="1175"/>
      <c r="BN72" s="1175"/>
      <c r="BO72" s="1175"/>
      <c r="BP72" s="1175"/>
      <c r="BQ72" s="1175"/>
      <c r="BR72" s="1175"/>
      <c r="BS72" s="1175"/>
      <c r="BT72" s="1175"/>
      <c r="BU72" s="1175"/>
      <c r="BV72" s="1175"/>
      <c r="BW72" s="1175"/>
      <c r="BX72" s="1175"/>
      <c r="BY72" s="1175"/>
      <c r="BZ72" s="1175"/>
      <c r="CA72" s="1175"/>
      <c r="CB72" s="1175"/>
      <c r="CC72" s="1175"/>
      <c r="CD72" s="1175"/>
      <c r="CE72" s="1175"/>
      <c r="CF72" s="1175"/>
      <c r="CG72" s="1175"/>
      <c r="CH72" s="1175"/>
      <c r="CI72" s="1175"/>
      <c r="CJ72" s="1175"/>
      <c r="CK72" s="1175"/>
      <c r="CL72" s="1175"/>
      <c r="CM72" s="1175"/>
      <c r="CN72" s="1175"/>
      <c r="CO72" s="1175"/>
      <c r="CP72" s="1175"/>
      <c r="CQ72" s="1175"/>
      <c r="CR72" s="1175"/>
      <c r="CS72" s="1175"/>
      <c r="CT72" s="1175"/>
      <c r="CU72" s="1175"/>
      <c r="CV72" s="1175"/>
      <c r="CW72" s="1175"/>
      <c r="CX72" s="1175"/>
      <c r="CY72" s="1175"/>
      <c r="CZ72" s="1175"/>
      <c r="DA72" s="1175"/>
      <c r="DB72" s="1175"/>
      <c r="DC72" s="1175"/>
      <c r="DD72" s="1175"/>
      <c r="DE72" s="1175"/>
      <c r="DF72" s="1175"/>
      <c r="DG72" s="1175"/>
      <c r="DH72" s="1175"/>
      <c r="DI72" s="1175"/>
      <c r="DJ72" s="1175"/>
      <c r="DK72" s="1175"/>
      <c r="DL72" s="1175"/>
      <c r="DM72" s="1175"/>
      <c r="DN72" s="1175"/>
      <c r="DO72" s="1175"/>
      <c r="DP72" s="1175"/>
      <c r="DQ72" s="1175"/>
      <c r="DR72" s="1175"/>
      <c r="DS72" s="1175"/>
    </row>
    <row r="73" spans="5:123" s="1187" customFormat="1" ht="18" customHeight="1" x14ac:dyDescent="0.3">
      <c r="E73" s="1175"/>
      <c r="F73" s="1175"/>
      <c r="G73" s="1175"/>
      <c r="H73" s="1175"/>
      <c r="I73" s="1175"/>
      <c r="J73" s="1175"/>
      <c r="K73" s="1175"/>
      <c r="L73" s="1175"/>
      <c r="M73" s="1175"/>
      <c r="N73" s="1175"/>
      <c r="O73" s="1175"/>
      <c r="P73" s="1175"/>
      <c r="Q73" s="1175"/>
      <c r="R73" s="1175"/>
      <c r="S73" s="1175"/>
      <c r="T73" s="1175"/>
      <c r="U73" s="1175"/>
      <c r="V73" s="1175"/>
      <c r="W73" s="1175"/>
      <c r="X73" s="1175"/>
      <c r="Y73" s="1175"/>
      <c r="Z73" s="1175"/>
      <c r="AA73" s="1175"/>
      <c r="AB73" s="1175"/>
      <c r="AC73" s="1175"/>
      <c r="AD73" s="1175"/>
      <c r="AE73" s="1175"/>
      <c r="AF73" s="1175"/>
      <c r="AG73" s="1175"/>
      <c r="AH73" s="1175"/>
      <c r="AI73" s="1175"/>
      <c r="AJ73" s="1175"/>
      <c r="AK73" s="1175"/>
      <c r="AL73" s="1175"/>
      <c r="AM73" s="1175"/>
      <c r="AN73" s="1175"/>
      <c r="AO73" s="1175"/>
      <c r="AP73" s="1175"/>
      <c r="AQ73" s="1175"/>
      <c r="AR73" s="1175"/>
      <c r="AS73" s="1175"/>
      <c r="AT73" s="1175"/>
      <c r="AU73" s="1175"/>
      <c r="AV73" s="1175"/>
      <c r="AW73" s="1175"/>
      <c r="AX73" s="1175"/>
      <c r="AY73" s="1175"/>
      <c r="AZ73" s="1175"/>
      <c r="BA73" s="1175"/>
      <c r="BB73" s="1175"/>
      <c r="BC73" s="1175"/>
      <c r="BD73" s="1175"/>
      <c r="BE73" s="1175"/>
      <c r="BF73" s="1175"/>
      <c r="BG73" s="1175"/>
      <c r="BH73" s="1175"/>
      <c r="BI73" s="1175"/>
      <c r="BJ73" s="1175"/>
      <c r="BK73" s="1175"/>
      <c r="BL73" s="1175"/>
      <c r="BM73" s="1175"/>
      <c r="BN73" s="1175"/>
      <c r="BO73" s="1175"/>
      <c r="BP73" s="1175"/>
      <c r="BQ73" s="1175"/>
      <c r="BR73" s="1175"/>
      <c r="BS73" s="1175"/>
      <c r="BT73" s="1175"/>
      <c r="BU73" s="1175"/>
      <c r="BV73" s="1175"/>
      <c r="BW73" s="1175"/>
      <c r="BX73" s="1175"/>
      <c r="BY73" s="1175"/>
      <c r="BZ73" s="1175"/>
      <c r="CA73" s="1175"/>
      <c r="CB73" s="1175"/>
      <c r="CC73" s="1175"/>
      <c r="CD73" s="1175"/>
      <c r="CE73" s="1175"/>
      <c r="CF73" s="1175"/>
      <c r="CG73" s="1175"/>
      <c r="CH73" s="1175"/>
      <c r="CI73" s="1175"/>
      <c r="CJ73" s="1175"/>
      <c r="CK73" s="1175"/>
      <c r="CL73" s="1175"/>
      <c r="CM73" s="1175"/>
      <c r="CN73" s="1175"/>
      <c r="CO73" s="1175"/>
      <c r="CP73" s="1175"/>
      <c r="CQ73" s="1175"/>
      <c r="CR73" s="1175"/>
      <c r="CS73" s="1175"/>
      <c r="CT73" s="1175"/>
      <c r="CU73" s="1175"/>
      <c r="CV73" s="1175"/>
      <c r="CW73" s="1175"/>
      <c r="CX73" s="1175"/>
      <c r="CY73" s="1175"/>
      <c r="CZ73" s="1175"/>
      <c r="DA73" s="1175"/>
      <c r="DB73" s="1175"/>
      <c r="DC73" s="1175"/>
      <c r="DD73" s="1175"/>
      <c r="DE73" s="1175"/>
      <c r="DF73" s="1175"/>
      <c r="DG73" s="1175"/>
      <c r="DH73" s="1175"/>
      <c r="DI73" s="1175"/>
      <c r="DJ73" s="1175"/>
      <c r="DK73" s="1175"/>
      <c r="DL73" s="1175"/>
      <c r="DM73" s="1175"/>
      <c r="DN73" s="1175"/>
      <c r="DO73" s="1175"/>
      <c r="DP73" s="1175"/>
      <c r="DQ73" s="1175"/>
      <c r="DR73" s="1175"/>
      <c r="DS73" s="1175"/>
    </row>
    <row r="74" spans="5:123" s="1187" customFormat="1" ht="18" customHeight="1" x14ac:dyDescent="0.3">
      <c r="E74" s="1175"/>
      <c r="F74" s="1175"/>
      <c r="G74" s="1175"/>
      <c r="H74" s="1175"/>
      <c r="I74" s="1175"/>
      <c r="J74" s="1175"/>
      <c r="K74" s="1175"/>
      <c r="L74" s="1175"/>
      <c r="M74" s="1175"/>
      <c r="N74" s="1175"/>
      <c r="O74" s="1175"/>
      <c r="P74" s="1175"/>
      <c r="Q74" s="1175"/>
      <c r="R74" s="1175"/>
      <c r="S74" s="1175"/>
      <c r="T74" s="1175"/>
      <c r="U74" s="1175"/>
      <c r="V74" s="1175"/>
      <c r="W74" s="1175"/>
      <c r="X74" s="1175"/>
      <c r="Y74" s="1175"/>
      <c r="Z74" s="1175"/>
      <c r="AA74" s="1175"/>
      <c r="AB74" s="1175"/>
      <c r="AC74" s="1175"/>
      <c r="AD74" s="1175"/>
      <c r="AE74" s="1175"/>
      <c r="AF74" s="1175"/>
      <c r="AG74" s="1175"/>
      <c r="AH74" s="1175"/>
      <c r="AI74" s="1175"/>
      <c r="AJ74" s="1175"/>
      <c r="AK74" s="1175"/>
      <c r="AL74" s="1175"/>
      <c r="AM74" s="1175"/>
      <c r="AN74" s="1175"/>
      <c r="AO74" s="1175"/>
      <c r="AP74" s="1175"/>
      <c r="AQ74" s="1175"/>
      <c r="AR74" s="1175"/>
      <c r="AS74" s="1175"/>
      <c r="AT74" s="1175"/>
      <c r="AU74" s="1175"/>
      <c r="AV74" s="1175"/>
      <c r="AW74" s="1175"/>
      <c r="AX74" s="1175"/>
      <c r="AY74" s="1175"/>
      <c r="AZ74" s="1175"/>
      <c r="BA74" s="1175"/>
      <c r="BB74" s="1175"/>
      <c r="BC74" s="1175"/>
      <c r="BD74" s="1175"/>
      <c r="BE74" s="1175"/>
      <c r="BF74" s="1175"/>
      <c r="BG74" s="1175"/>
      <c r="BH74" s="1175"/>
      <c r="BI74" s="1175"/>
      <c r="BJ74" s="1175"/>
      <c r="BK74" s="1175"/>
      <c r="BL74" s="1175"/>
      <c r="BM74" s="1175"/>
      <c r="BN74" s="1175"/>
      <c r="BO74" s="1175"/>
      <c r="BP74" s="1175"/>
      <c r="BQ74" s="1175"/>
      <c r="BR74" s="1175"/>
      <c r="BS74" s="1175"/>
      <c r="BT74" s="1175"/>
      <c r="BU74" s="1175"/>
      <c r="BV74" s="1175"/>
      <c r="BW74" s="1175"/>
      <c r="BX74" s="1175"/>
      <c r="BY74" s="1175"/>
      <c r="BZ74" s="1175"/>
      <c r="CA74" s="1175"/>
      <c r="CB74" s="1175"/>
      <c r="CC74" s="1175"/>
      <c r="CD74" s="1175"/>
      <c r="CE74" s="1175"/>
      <c r="CF74" s="1175"/>
      <c r="CG74" s="1175"/>
      <c r="CH74" s="1175"/>
      <c r="CI74" s="1175"/>
      <c r="CJ74" s="1175"/>
      <c r="CK74" s="1175"/>
      <c r="CL74" s="1175"/>
      <c r="CM74" s="1175"/>
      <c r="CN74" s="1175"/>
      <c r="CO74" s="1175"/>
      <c r="CP74" s="1175"/>
      <c r="CQ74" s="1175"/>
      <c r="CR74" s="1175"/>
      <c r="CS74" s="1175"/>
      <c r="CT74" s="1175"/>
      <c r="CU74" s="1175"/>
      <c r="CV74" s="1175"/>
      <c r="CW74" s="1175"/>
      <c r="CX74" s="1175"/>
      <c r="CY74" s="1175"/>
      <c r="CZ74" s="1175"/>
      <c r="DA74" s="1175"/>
      <c r="DB74" s="1175"/>
      <c r="DC74" s="1175"/>
      <c r="DD74" s="1175"/>
      <c r="DE74" s="1175"/>
      <c r="DF74" s="1175"/>
      <c r="DG74" s="1175"/>
      <c r="DH74" s="1175"/>
      <c r="DI74" s="1175"/>
      <c r="DJ74" s="1175"/>
      <c r="DK74" s="1175"/>
      <c r="DL74" s="1175"/>
      <c r="DM74" s="1175"/>
      <c r="DN74" s="1175"/>
      <c r="DO74" s="1175"/>
      <c r="DP74" s="1175"/>
      <c r="DQ74" s="1175"/>
      <c r="DR74" s="1175"/>
      <c r="DS74" s="1175"/>
    </row>
    <row r="75" spans="5:123" s="1187" customFormat="1" ht="18" customHeight="1" x14ac:dyDescent="0.3">
      <c r="E75" s="1175"/>
      <c r="F75" s="1175"/>
      <c r="G75" s="1175"/>
      <c r="H75" s="1175"/>
      <c r="I75" s="1175"/>
      <c r="J75" s="1175"/>
      <c r="K75" s="1175"/>
      <c r="L75" s="1175"/>
      <c r="M75" s="1175"/>
      <c r="N75" s="1175"/>
      <c r="O75" s="1175"/>
      <c r="P75" s="1175"/>
      <c r="Q75" s="1175"/>
      <c r="R75" s="1175"/>
      <c r="S75" s="1175"/>
      <c r="T75" s="1175"/>
      <c r="U75" s="1175"/>
      <c r="V75" s="1175"/>
      <c r="W75" s="1175"/>
      <c r="X75" s="1175"/>
      <c r="Y75" s="1175"/>
      <c r="Z75" s="1175"/>
      <c r="AA75" s="1175"/>
      <c r="AB75" s="1175"/>
      <c r="AC75" s="1175"/>
      <c r="AD75" s="1175"/>
      <c r="AE75" s="1175"/>
      <c r="AF75" s="1175"/>
      <c r="AG75" s="1175"/>
      <c r="AH75" s="1175"/>
      <c r="AI75" s="1175"/>
      <c r="AJ75" s="1175"/>
      <c r="AK75" s="1175"/>
      <c r="AL75" s="1175"/>
      <c r="AM75" s="1175"/>
      <c r="AN75" s="1175"/>
      <c r="AO75" s="1175"/>
      <c r="AP75" s="1175"/>
      <c r="AQ75" s="1175"/>
      <c r="AR75" s="1175"/>
      <c r="AS75" s="1175"/>
      <c r="AT75" s="1175"/>
      <c r="AU75" s="1175"/>
      <c r="AV75" s="1175"/>
      <c r="AW75" s="1175"/>
      <c r="AX75" s="1175"/>
      <c r="AY75" s="1175"/>
      <c r="AZ75" s="1175"/>
      <c r="BA75" s="1175"/>
      <c r="BB75" s="1175"/>
      <c r="BC75" s="1175"/>
      <c r="BD75" s="1175"/>
      <c r="BE75" s="1175"/>
      <c r="BF75" s="1175"/>
      <c r="BG75" s="1175"/>
      <c r="BH75" s="1175"/>
      <c r="BI75" s="1175"/>
      <c r="BJ75" s="1175"/>
      <c r="BK75" s="1175"/>
      <c r="BL75" s="1175"/>
      <c r="BM75" s="1175"/>
      <c r="BN75" s="1175"/>
      <c r="BO75" s="1175"/>
      <c r="BP75" s="1175"/>
      <c r="BQ75" s="1175"/>
      <c r="BR75" s="1175"/>
      <c r="BS75" s="1175"/>
      <c r="BT75" s="1175"/>
      <c r="BU75" s="1175"/>
      <c r="BV75" s="1175"/>
      <c r="BW75" s="1175"/>
      <c r="BX75" s="1175"/>
      <c r="BY75" s="1175"/>
      <c r="BZ75" s="1175"/>
      <c r="CA75" s="1175"/>
      <c r="CB75" s="1175"/>
      <c r="CC75" s="1175"/>
      <c r="CD75" s="1175"/>
      <c r="CE75" s="1175"/>
      <c r="CF75" s="1175"/>
      <c r="CG75" s="1175"/>
      <c r="CH75" s="1175"/>
      <c r="CI75" s="1175"/>
      <c r="CJ75" s="1175"/>
      <c r="CK75" s="1175"/>
      <c r="CL75" s="1175"/>
      <c r="CM75" s="1175"/>
      <c r="CN75" s="1175"/>
      <c r="CO75" s="1175"/>
      <c r="CP75" s="1175"/>
      <c r="CQ75" s="1175"/>
      <c r="CR75" s="1175"/>
      <c r="CS75" s="1175"/>
      <c r="CT75" s="1175"/>
      <c r="CU75" s="1175"/>
      <c r="CV75" s="1175"/>
      <c r="CW75" s="1175"/>
      <c r="CX75" s="1175"/>
      <c r="CY75" s="1175"/>
      <c r="CZ75" s="1175"/>
      <c r="DA75" s="1175"/>
      <c r="DB75" s="1175"/>
      <c r="DC75" s="1175"/>
      <c r="DD75" s="1175"/>
      <c r="DE75" s="1175"/>
      <c r="DF75" s="1175"/>
      <c r="DG75" s="1175"/>
      <c r="DH75" s="1175"/>
      <c r="DI75" s="1175"/>
      <c r="DJ75" s="1175"/>
      <c r="DK75" s="1175"/>
      <c r="DL75" s="1175"/>
      <c r="DM75" s="1175"/>
      <c r="DN75" s="1175"/>
      <c r="DO75" s="1175"/>
      <c r="DP75" s="1175"/>
      <c r="DQ75" s="1175"/>
      <c r="DR75" s="1175"/>
      <c r="DS75" s="1175"/>
    </row>
    <row r="76" spans="5:123" s="1187" customFormat="1" ht="18" customHeight="1" x14ac:dyDescent="0.3">
      <c r="E76" s="1175"/>
      <c r="F76" s="1175"/>
      <c r="G76" s="1175"/>
      <c r="H76" s="1175"/>
      <c r="I76" s="1175"/>
      <c r="J76" s="1175"/>
      <c r="K76" s="1175"/>
      <c r="L76" s="1175"/>
      <c r="M76" s="1175"/>
      <c r="N76" s="1175"/>
      <c r="O76" s="1175"/>
      <c r="P76" s="1175"/>
      <c r="Q76" s="1175"/>
      <c r="R76" s="1175"/>
      <c r="S76" s="1175"/>
      <c r="T76" s="1175"/>
      <c r="U76" s="1175"/>
      <c r="V76" s="1175"/>
      <c r="W76" s="1175"/>
      <c r="X76" s="1175"/>
      <c r="Y76" s="1175"/>
      <c r="Z76" s="1175"/>
      <c r="AA76" s="1175"/>
      <c r="AB76" s="1175"/>
      <c r="AC76" s="1175"/>
      <c r="AD76" s="1175"/>
      <c r="AE76" s="1175"/>
      <c r="AF76" s="1175"/>
      <c r="AG76" s="1175"/>
      <c r="AH76" s="1175"/>
      <c r="AI76" s="1175"/>
      <c r="AJ76" s="1175"/>
      <c r="AK76" s="1175"/>
      <c r="AL76" s="1175"/>
      <c r="AM76" s="1175"/>
      <c r="AN76" s="1175"/>
      <c r="AO76" s="1175"/>
      <c r="AP76" s="1175"/>
      <c r="AQ76" s="1175"/>
      <c r="AR76" s="1175"/>
      <c r="AS76" s="1175"/>
      <c r="AT76" s="1175"/>
      <c r="AU76" s="1175"/>
      <c r="AV76" s="1175"/>
      <c r="AW76" s="1175"/>
      <c r="AX76" s="1175"/>
      <c r="AY76" s="1175"/>
      <c r="AZ76" s="1175"/>
      <c r="BA76" s="1175"/>
      <c r="BB76" s="1175"/>
      <c r="BC76" s="1175"/>
      <c r="BD76" s="1175"/>
      <c r="BE76" s="1175"/>
      <c r="BF76" s="1175"/>
      <c r="BG76" s="1175"/>
      <c r="BH76" s="1175"/>
      <c r="BI76" s="1175"/>
      <c r="BJ76" s="1175"/>
      <c r="BK76" s="1175"/>
      <c r="BL76" s="1175"/>
      <c r="BM76" s="1175"/>
      <c r="BN76" s="1175"/>
      <c r="BO76" s="1175"/>
      <c r="BP76" s="1175"/>
      <c r="BQ76" s="1175"/>
      <c r="BR76" s="1175"/>
      <c r="BS76" s="1175"/>
      <c r="BT76" s="1175"/>
      <c r="BU76" s="1175"/>
      <c r="BV76" s="1175"/>
      <c r="BW76" s="1175"/>
      <c r="BX76" s="1175"/>
      <c r="BY76" s="1175"/>
      <c r="BZ76" s="1175"/>
      <c r="CA76" s="1175"/>
      <c r="CB76" s="1175"/>
      <c r="CC76" s="1175"/>
      <c r="CD76" s="1175"/>
      <c r="CE76" s="1175"/>
      <c r="CF76" s="1175"/>
      <c r="CG76" s="1175"/>
      <c r="CH76" s="1175"/>
      <c r="CI76" s="1175"/>
      <c r="CJ76" s="1175"/>
      <c r="CK76" s="1175"/>
      <c r="CL76" s="1175"/>
      <c r="CM76" s="1175"/>
      <c r="CN76" s="1175"/>
      <c r="CO76" s="1175"/>
      <c r="CP76" s="1175"/>
      <c r="CQ76" s="1175"/>
      <c r="CR76" s="1175"/>
      <c r="CS76" s="1175"/>
      <c r="CT76" s="1175"/>
      <c r="CU76" s="1175"/>
      <c r="CV76" s="1175"/>
      <c r="CW76" s="1175"/>
      <c r="CX76" s="1175"/>
      <c r="CY76" s="1175"/>
      <c r="CZ76" s="1175"/>
      <c r="DA76" s="1175"/>
      <c r="DB76" s="1175"/>
      <c r="DC76" s="1175"/>
      <c r="DD76" s="1175"/>
      <c r="DE76" s="1175"/>
      <c r="DF76" s="1175"/>
      <c r="DG76" s="1175"/>
      <c r="DH76" s="1175"/>
      <c r="DI76" s="1175"/>
      <c r="DJ76" s="1175"/>
      <c r="DK76" s="1175"/>
      <c r="DL76" s="1175"/>
      <c r="DM76" s="1175"/>
      <c r="DN76" s="1175"/>
      <c r="DO76" s="1175"/>
      <c r="DP76" s="1175"/>
      <c r="DQ76" s="1175"/>
      <c r="DR76" s="1175"/>
      <c r="DS76" s="1175"/>
    </row>
    <row r="77" spans="5:123" s="1187" customFormat="1" ht="18" customHeight="1" x14ac:dyDescent="0.3">
      <c r="E77" s="1175"/>
      <c r="F77" s="1175"/>
      <c r="G77" s="1175"/>
      <c r="H77" s="1175"/>
      <c r="I77" s="1175"/>
      <c r="J77" s="1175"/>
      <c r="K77" s="1175"/>
      <c r="L77" s="1175"/>
      <c r="M77" s="1175"/>
      <c r="N77" s="1175"/>
      <c r="O77" s="1175"/>
      <c r="P77" s="1175"/>
      <c r="Q77" s="1175"/>
      <c r="R77" s="1175"/>
      <c r="S77" s="1175"/>
      <c r="T77" s="1175"/>
      <c r="U77" s="1175"/>
      <c r="V77" s="1175"/>
      <c r="W77" s="1175"/>
      <c r="X77" s="1175"/>
      <c r="Y77" s="1175"/>
      <c r="Z77" s="1175"/>
      <c r="AA77" s="1175"/>
      <c r="AB77" s="1175"/>
      <c r="AC77" s="1175"/>
      <c r="AD77" s="1175"/>
      <c r="AE77" s="1175"/>
      <c r="AF77" s="1175"/>
      <c r="AG77" s="1175"/>
      <c r="AH77" s="1175"/>
      <c r="AI77" s="1175"/>
      <c r="AJ77" s="1175"/>
      <c r="AK77" s="1175"/>
      <c r="AL77" s="1175"/>
      <c r="AM77" s="1175"/>
      <c r="AN77" s="1175"/>
      <c r="AO77" s="1175"/>
      <c r="AP77" s="1175"/>
      <c r="AQ77" s="1175"/>
      <c r="AR77" s="1175"/>
      <c r="AS77" s="1175"/>
      <c r="AT77" s="1175"/>
      <c r="AU77" s="1175"/>
      <c r="AV77" s="1175"/>
      <c r="AW77" s="1175"/>
      <c r="AX77" s="1175"/>
      <c r="AY77" s="1175"/>
      <c r="AZ77" s="1175"/>
      <c r="BA77" s="1175"/>
      <c r="BB77" s="1175"/>
      <c r="BC77" s="1175"/>
      <c r="BD77" s="1175"/>
      <c r="BE77" s="1175"/>
      <c r="BF77" s="1175"/>
      <c r="BG77" s="1175"/>
      <c r="BH77" s="1175"/>
      <c r="BI77" s="1175"/>
      <c r="BJ77" s="1175"/>
      <c r="BK77" s="1175"/>
      <c r="BL77" s="1175"/>
      <c r="BM77" s="1175"/>
      <c r="BN77" s="1175"/>
      <c r="BO77" s="1175"/>
      <c r="BP77" s="1175"/>
      <c r="BQ77" s="1175"/>
      <c r="BR77" s="1175"/>
      <c r="BS77" s="1175"/>
      <c r="BT77" s="1175"/>
      <c r="BU77" s="1175"/>
      <c r="BV77" s="1175"/>
      <c r="BW77" s="1175"/>
      <c r="BX77" s="1175"/>
      <c r="BY77" s="1175"/>
      <c r="BZ77" s="1175"/>
      <c r="CA77" s="1175"/>
      <c r="CB77" s="1175"/>
      <c r="CC77" s="1175"/>
      <c r="CD77" s="1175"/>
      <c r="CE77" s="1175"/>
      <c r="CF77" s="1175"/>
      <c r="CG77" s="1175"/>
      <c r="CH77" s="1175"/>
      <c r="CI77" s="1175"/>
      <c r="CJ77" s="1175"/>
      <c r="CK77" s="1175"/>
      <c r="CL77" s="1175"/>
      <c r="CM77" s="1175"/>
      <c r="CN77" s="1175"/>
      <c r="CO77" s="1175"/>
      <c r="CP77" s="1175"/>
      <c r="CQ77" s="1175"/>
      <c r="CR77" s="1175"/>
      <c r="CS77" s="1175"/>
      <c r="CT77" s="1175"/>
      <c r="CU77" s="1175"/>
      <c r="CV77" s="1175"/>
      <c r="CW77" s="1175"/>
      <c r="CX77" s="1175"/>
      <c r="CY77" s="1175"/>
      <c r="CZ77" s="1175"/>
      <c r="DA77" s="1175"/>
      <c r="DB77" s="1175"/>
      <c r="DC77" s="1175"/>
      <c r="DD77" s="1175"/>
      <c r="DE77" s="1175"/>
      <c r="DF77" s="1175"/>
      <c r="DG77" s="1175"/>
      <c r="DH77" s="1175"/>
      <c r="DI77" s="1175"/>
      <c r="DJ77" s="1175"/>
      <c r="DK77" s="1175"/>
      <c r="DL77" s="1175"/>
      <c r="DM77" s="1175"/>
      <c r="DN77" s="1175"/>
      <c r="DO77" s="1175"/>
      <c r="DP77" s="1175"/>
      <c r="DQ77" s="1175"/>
      <c r="DR77" s="1175"/>
      <c r="DS77" s="1175"/>
    </row>
    <row r="78" spans="5:123" s="1187" customFormat="1" ht="18" customHeight="1" x14ac:dyDescent="0.3">
      <c r="E78" s="1175"/>
      <c r="F78" s="1175"/>
      <c r="G78" s="1175"/>
      <c r="H78" s="1175"/>
      <c r="I78" s="1175"/>
      <c r="J78" s="1175"/>
      <c r="K78" s="1175"/>
      <c r="L78" s="1175"/>
      <c r="M78" s="1175"/>
      <c r="N78" s="1175"/>
      <c r="O78" s="1175"/>
      <c r="P78" s="1175"/>
      <c r="Q78" s="1175"/>
      <c r="R78" s="1175"/>
      <c r="S78" s="1175"/>
      <c r="T78" s="1175"/>
      <c r="U78" s="1175"/>
      <c r="V78" s="1175"/>
      <c r="W78" s="1175"/>
      <c r="X78" s="1175"/>
      <c r="Y78" s="1175"/>
      <c r="Z78" s="1175"/>
      <c r="AA78" s="1175"/>
      <c r="AB78" s="1175"/>
      <c r="AC78" s="1175"/>
      <c r="AD78" s="1175"/>
      <c r="AE78" s="1175"/>
      <c r="AF78" s="1175"/>
      <c r="AG78" s="1175"/>
      <c r="AH78" s="1175"/>
      <c r="AI78" s="1175"/>
      <c r="AJ78" s="1175"/>
      <c r="AK78" s="1175"/>
      <c r="AL78" s="1175"/>
      <c r="AM78" s="1175"/>
      <c r="AN78" s="1175"/>
      <c r="AO78" s="1175"/>
      <c r="AP78" s="1175"/>
      <c r="AQ78" s="1175"/>
      <c r="AR78" s="1175"/>
      <c r="AS78" s="1175"/>
      <c r="AT78" s="1175"/>
      <c r="AU78" s="1175"/>
      <c r="AV78" s="1175"/>
      <c r="AW78" s="1175"/>
      <c r="AX78" s="1175"/>
      <c r="AY78" s="1175"/>
      <c r="AZ78" s="1175"/>
      <c r="BA78" s="1175"/>
      <c r="BB78" s="1175"/>
      <c r="BC78" s="1175"/>
      <c r="BD78" s="1175"/>
      <c r="BE78" s="1175"/>
      <c r="BF78" s="1175"/>
      <c r="BG78" s="1175"/>
      <c r="BH78" s="1175"/>
      <c r="BI78" s="1175"/>
      <c r="BJ78" s="1175"/>
      <c r="BK78" s="1175"/>
      <c r="BL78" s="1175"/>
      <c r="BM78" s="1175"/>
      <c r="BN78" s="1175"/>
      <c r="BO78" s="1175"/>
      <c r="BP78" s="1175"/>
      <c r="BQ78" s="1175"/>
      <c r="BR78" s="1175"/>
      <c r="BS78" s="1175"/>
      <c r="BT78" s="1175"/>
      <c r="BU78" s="1175"/>
      <c r="BV78" s="1175"/>
      <c r="BW78" s="1175"/>
      <c r="BX78" s="1175"/>
      <c r="BY78" s="1175"/>
      <c r="BZ78" s="1175"/>
      <c r="CA78" s="1175"/>
      <c r="CB78" s="1175"/>
      <c r="CC78" s="1175"/>
      <c r="CD78" s="1175"/>
      <c r="CE78" s="1175"/>
      <c r="CF78" s="1175"/>
      <c r="CG78" s="1175"/>
      <c r="CH78" s="1175"/>
      <c r="CI78" s="1175"/>
      <c r="CJ78" s="1175"/>
      <c r="CK78" s="1175"/>
      <c r="CL78" s="1175"/>
      <c r="CM78" s="1175"/>
      <c r="CN78" s="1175"/>
      <c r="CO78" s="1175"/>
      <c r="CP78" s="1175"/>
      <c r="CQ78" s="1175"/>
      <c r="CR78" s="1175"/>
      <c r="CS78" s="1175"/>
      <c r="CT78" s="1175"/>
      <c r="CU78" s="1175"/>
      <c r="CV78" s="1175"/>
      <c r="CW78" s="1175"/>
      <c r="CX78" s="1175"/>
      <c r="CY78" s="1175"/>
      <c r="CZ78" s="1175"/>
      <c r="DA78" s="1175"/>
      <c r="DB78" s="1175"/>
      <c r="DC78" s="1175"/>
      <c r="DD78" s="1175"/>
      <c r="DE78" s="1175"/>
      <c r="DF78" s="1175"/>
      <c r="DG78" s="1175"/>
      <c r="DH78" s="1175"/>
      <c r="DI78" s="1175"/>
      <c r="DJ78" s="1175"/>
      <c r="DK78" s="1175"/>
      <c r="DL78" s="1175"/>
      <c r="DM78" s="1175"/>
      <c r="DN78" s="1175"/>
      <c r="DO78" s="1175"/>
      <c r="DP78" s="1175"/>
      <c r="DQ78" s="1175"/>
      <c r="DR78" s="1175"/>
      <c r="DS78" s="1175"/>
    </row>
    <row r="79" spans="5:123" s="1187" customFormat="1" ht="18" customHeight="1" x14ac:dyDescent="0.3">
      <c r="E79" s="1175"/>
      <c r="F79" s="1175"/>
      <c r="G79" s="1175"/>
      <c r="H79" s="1175"/>
      <c r="I79" s="1175"/>
      <c r="J79" s="1175"/>
      <c r="K79" s="1175"/>
      <c r="L79" s="1175"/>
      <c r="M79" s="1175"/>
      <c r="N79" s="1175"/>
      <c r="O79" s="1175"/>
      <c r="P79" s="1175"/>
      <c r="Q79" s="1175"/>
      <c r="R79" s="1175"/>
      <c r="S79" s="1175"/>
      <c r="T79" s="1175"/>
      <c r="U79" s="1175"/>
      <c r="V79" s="1175"/>
      <c r="W79" s="1175"/>
      <c r="X79" s="1175"/>
      <c r="Y79" s="1175"/>
      <c r="Z79" s="1175"/>
      <c r="AA79" s="1175"/>
      <c r="AB79" s="1175"/>
      <c r="AC79" s="1175"/>
      <c r="AD79" s="1175"/>
      <c r="AE79" s="1175"/>
      <c r="AF79" s="1175"/>
      <c r="AG79" s="1175"/>
      <c r="AH79" s="1175"/>
      <c r="AI79" s="1175"/>
      <c r="AJ79" s="1175"/>
      <c r="AK79" s="1175"/>
      <c r="AL79" s="1175"/>
      <c r="AM79" s="1175"/>
      <c r="AN79" s="1175"/>
      <c r="AO79" s="1175"/>
      <c r="AP79" s="1175"/>
      <c r="AQ79" s="1175"/>
      <c r="AR79" s="1175"/>
      <c r="AS79" s="1175"/>
      <c r="AT79" s="1175"/>
      <c r="AU79" s="1175"/>
      <c r="AV79" s="1175"/>
      <c r="AW79" s="1175"/>
      <c r="AX79" s="1175"/>
      <c r="AY79" s="1175"/>
      <c r="AZ79" s="1175"/>
      <c r="BA79" s="1175"/>
      <c r="BB79" s="1175"/>
      <c r="BC79" s="1175"/>
      <c r="BD79" s="1175"/>
      <c r="BE79" s="1175"/>
      <c r="BF79" s="1175"/>
      <c r="BG79" s="1175"/>
      <c r="BH79" s="1175"/>
      <c r="BI79" s="1175"/>
      <c r="BJ79" s="1175"/>
      <c r="BK79" s="1175"/>
      <c r="BL79" s="1175"/>
      <c r="BM79" s="1175"/>
      <c r="BN79" s="1175"/>
      <c r="BO79" s="1175"/>
      <c r="BP79" s="1175"/>
      <c r="BQ79" s="1175"/>
      <c r="BR79" s="1175"/>
      <c r="BS79" s="1175"/>
      <c r="BT79" s="1175"/>
      <c r="BU79" s="1175"/>
      <c r="BV79" s="1175"/>
      <c r="BW79" s="1175"/>
      <c r="BX79" s="1175"/>
      <c r="BY79" s="1175"/>
      <c r="BZ79" s="1175"/>
      <c r="CA79" s="1175"/>
      <c r="CB79" s="1175"/>
      <c r="CC79" s="1175"/>
      <c r="CD79" s="1175"/>
      <c r="CE79" s="1175"/>
      <c r="CF79" s="1175"/>
      <c r="CG79" s="1175"/>
      <c r="CH79" s="1175"/>
      <c r="CI79" s="1175"/>
      <c r="CJ79" s="1175"/>
      <c r="CK79" s="1175"/>
      <c r="CL79" s="1175"/>
      <c r="CM79" s="1175"/>
      <c r="CN79" s="1175"/>
      <c r="CO79" s="1175"/>
      <c r="CP79" s="1175"/>
      <c r="CQ79" s="1175"/>
      <c r="CR79" s="1175"/>
      <c r="CS79" s="1175"/>
      <c r="CT79" s="1175"/>
      <c r="CU79" s="1175"/>
      <c r="CV79" s="1175"/>
      <c r="CW79" s="1175"/>
      <c r="CX79" s="1175"/>
      <c r="CY79" s="1175"/>
      <c r="CZ79" s="1175"/>
      <c r="DA79" s="1175"/>
      <c r="DB79" s="1175"/>
      <c r="DC79" s="1175"/>
      <c r="DD79" s="1175"/>
      <c r="DE79" s="1175"/>
      <c r="DF79" s="1175"/>
      <c r="DG79" s="1175"/>
      <c r="DH79" s="1175"/>
      <c r="DI79" s="1175"/>
      <c r="DJ79" s="1175"/>
      <c r="DK79" s="1175"/>
      <c r="DL79" s="1175"/>
      <c r="DM79" s="1175"/>
      <c r="DN79" s="1175"/>
      <c r="DO79" s="1175"/>
      <c r="DP79" s="1175"/>
      <c r="DQ79" s="1175"/>
      <c r="DR79" s="1175"/>
      <c r="DS79" s="1175"/>
    </row>
    <row r="80" spans="5:123" s="1187" customFormat="1" ht="18" customHeight="1" x14ac:dyDescent="0.3">
      <c r="E80" s="1175"/>
      <c r="F80" s="1175"/>
      <c r="G80" s="1175"/>
      <c r="H80" s="1175"/>
      <c r="I80" s="1175"/>
      <c r="J80" s="1175"/>
      <c r="K80" s="1175"/>
      <c r="L80" s="1175"/>
      <c r="M80" s="1175"/>
      <c r="N80" s="1175"/>
      <c r="O80" s="1175"/>
      <c r="P80" s="1175"/>
      <c r="Q80" s="1175"/>
      <c r="R80" s="1175"/>
      <c r="S80" s="1175"/>
      <c r="T80" s="1175"/>
      <c r="U80" s="1175"/>
      <c r="V80" s="1175"/>
      <c r="W80" s="1175"/>
      <c r="X80" s="1175"/>
      <c r="Y80" s="1175"/>
      <c r="Z80" s="1175"/>
      <c r="AA80" s="1175"/>
      <c r="AB80" s="1175"/>
      <c r="AC80" s="1175"/>
      <c r="AD80" s="1175"/>
      <c r="AE80" s="1175"/>
      <c r="AF80" s="1175"/>
      <c r="AG80" s="1175"/>
      <c r="AH80" s="1175"/>
      <c r="AI80" s="1175"/>
      <c r="AJ80" s="1175"/>
      <c r="AK80" s="1175"/>
      <c r="AL80" s="1175"/>
      <c r="AM80" s="1175"/>
      <c r="AN80" s="1175"/>
      <c r="AO80" s="1175"/>
      <c r="AP80" s="1175"/>
      <c r="AQ80" s="1175"/>
      <c r="AR80" s="1175"/>
      <c r="AS80" s="1175"/>
      <c r="AT80" s="1175"/>
      <c r="AU80" s="1175"/>
      <c r="AV80" s="1175"/>
      <c r="AW80" s="1175"/>
      <c r="AX80" s="1175"/>
      <c r="AY80" s="1175"/>
      <c r="AZ80" s="1175"/>
      <c r="BA80" s="1175"/>
      <c r="BB80" s="1175"/>
      <c r="BC80" s="1175"/>
      <c r="BD80" s="1175"/>
      <c r="BE80" s="1175"/>
      <c r="BF80" s="1175"/>
      <c r="BG80" s="1175"/>
      <c r="BH80" s="1175"/>
      <c r="BI80" s="1175"/>
      <c r="BJ80" s="1175"/>
      <c r="BK80" s="1175"/>
      <c r="BL80" s="1175"/>
      <c r="BM80" s="1175"/>
      <c r="BN80" s="1175"/>
      <c r="BO80" s="1175"/>
      <c r="BP80" s="1175"/>
      <c r="BQ80" s="1175"/>
      <c r="BR80" s="1175"/>
      <c r="BS80" s="1175"/>
      <c r="BT80" s="1175"/>
      <c r="BU80" s="1175"/>
      <c r="BV80" s="1175"/>
      <c r="BW80" s="1175"/>
      <c r="BX80" s="1175"/>
      <c r="BY80" s="1175"/>
      <c r="BZ80" s="1175"/>
      <c r="CA80" s="1175"/>
      <c r="CB80" s="1175"/>
      <c r="CC80" s="1175"/>
      <c r="CD80" s="1175"/>
      <c r="CE80" s="1175"/>
      <c r="CF80" s="1175"/>
      <c r="CG80" s="1175"/>
      <c r="CH80" s="1175"/>
      <c r="CI80" s="1175"/>
      <c r="CJ80" s="1175"/>
      <c r="CK80" s="1175"/>
      <c r="CL80" s="1175"/>
      <c r="CM80" s="1175"/>
      <c r="CN80" s="1175"/>
      <c r="CO80" s="1175"/>
      <c r="CP80" s="1175"/>
      <c r="CQ80" s="1175"/>
      <c r="CR80" s="1175"/>
      <c r="CS80" s="1175"/>
      <c r="CT80" s="1175"/>
      <c r="CU80" s="1175"/>
      <c r="CV80" s="1175"/>
      <c r="CW80" s="1175"/>
      <c r="CX80" s="1175"/>
      <c r="CY80" s="1175"/>
      <c r="CZ80" s="1175"/>
      <c r="DA80" s="1175"/>
      <c r="DB80" s="1175"/>
      <c r="DC80" s="1175"/>
      <c r="DD80" s="1175"/>
      <c r="DE80" s="1175"/>
      <c r="DF80" s="1175"/>
      <c r="DG80" s="1175"/>
      <c r="DH80" s="1175"/>
      <c r="DI80" s="1175"/>
      <c r="DJ80" s="1175"/>
      <c r="DK80" s="1175"/>
      <c r="DL80" s="1175"/>
      <c r="DM80" s="1175"/>
      <c r="DN80" s="1175"/>
      <c r="DO80" s="1175"/>
      <c r="DP80" s="1175"/>
      <c r="DQ80" s="1175"/>
      <c r="DR80" s="1175"/>
      <c r="DS80" s="1175"/>
    </row>
    <row r="81" spans="5:123" s="1187" customFormat="1" ht="18" customHeight="1" x14ac:dyDescent="0.3">
      <c r="E81" s="1175"/>
      <c r="F81" s="1175"/>
      <c r="G81" s="1175"/>
      <c r="H81" s="1175"/>
      <c r="I81" s="1175"/>
      <c r="J81" s="1175"/>
      <c r="K81" s="1175"/>
      <c r="L81" s="1175"/>
      <c r="M81" s="1175"/>
      <c r="N81" s="1175"/>
      <c r="O81" s="1175"/>
      <c r="P81" s="1175"/>
      <c r="Q81" s="1175"/>
      <c r="R81" s="1175"/>
      <c r="S81" s="1175"/>
      <c r="T81" s="1175"/>
      <c r="U81" s="1175"/>
      <c r="V81" s="1175"/>
      <c r="W81" s="1175"/>
      <c r="X81" s="1175"/>
      <c r="Y81" s="1175"/>
      <c r="Z81" s="1175"/>
      <c r="AA81" s="1175"/>
      <c r="AB81" s="1175"/>
      <c r="AC81" s="1175"/>
      <c r="AD81" s="1175"/>
      <c r="AE81" s="1175"/>
      <c r="AF81" s="1175"/>
      <c r="AG81" s="1175"/>
      <c r="AH81" s="1175"/>
      <c r="AI81" s="1175"/>
      <c r="AJ81" s="1175"/>
      <c r="AK81" s="1175"/>
      <c r="AL81" s="1175"/>
      <c r="AM81" s="1175"/>
      <c r="AN81" s="1175"/>
      <c r="AO81" s="1175"/>
      <c r="AP81" s="1175"/>
      <c r="AQ81" s="1175"/>
      <c r="AR81" s="1175"/>
      <c r="AS81" s="1175"/>
      <c r="AT81" s="1175"/>
      <c r="AU81" s="1175"/>
      <c r="AV81" s="1175"/>
      <c r="AW81" s="1175"/>
      <c r="AX81" s="1175"/>
      <c r="AY81" s="1175"/>
      <c r="AZ81" s="1175"/>
      <c r="BA81" s="1175"/>
      <c r="BB81" s="1175"/>
      <c r="BC81" s="1175"/>
      <c r="BD81" s="1175"/>
      <c r="BE81" s="1175"/>
      <c r="BF81" s="1175"/>
      <c r="BG81" s="1175"/>
      <c r="BH81" s="1175"/>
      <c r="BI81" s="1175"/>
      <c r="BJ81" s="1175"/>
      <c r="BK81" s="1175"/>
      <c r="BL81" s="1175"/>
      <c r="BM81" s="1175"/>
      <c r="BN81" s="1175"/>
      <c r="BO81" s="1175"/>
      <c r="BP81" s="1175"/>
      <c r="BQ81" s="1175"/>
      <c r="BR81" s="1175"/>
      <c r="BS81" s="1175"/>
      <c r="BT81" s="1175"/>
      <c r="BU81" s="1175"/>
      <c r="BV81" s="1175"/>
      <c r="BW81" s="1175"/>
      <c r="BX81" s="1175"/>
      <c r="BY81" s="1175"/>
      <c r="BZ81" s="1175"/>
      <c r="CA81" s="1175"/>
      <c r="CB81" s="1175"/>
      <c r="CC81" s="1175"/>
      <c r="CD81" s="1175"/>
      <c r="CE81" s="1175"/>
      <c r="CF81" s="1175"/>
      <c r="CG81" s="1175"/>
      <c r="CH81" s="1175"/>
      <c r="CI81" s="1175"/>
      <c r="CJ81" s="1175"/>
      <c r="CK81" s="1175"/>
      <c r="CL81" s="1175"/>
      <c r="CM81" s="1175"/>
      <c r="CN81" s="1175"/>
      <c r="CO81" s="1175"/>
      <c r="CP81" s="1175"/>
      <c r="CQ81" s="1175"/>
      <c r="CR81" s="1175"/>
      <c r="CS81" s="1175"/>
      <c r="CT81" s="1175"/>
      <c r="CU81" s="1175"/>
      <c r="CV81" s="1175"/>
      <c r="CW81" s="1175"/>
      <c r="CX81" s="1175"/>
      <c r="CY81" s="1175"/>
      <c r="CZ81" s="1175"/>
      <c r="DA81" s="1175"/>
      <c r="DB81" s="1175"/>
      <c r="DC81" s="1175"/>
      <c r="DD81" s="1175"/>
      <c r="DE81" s="1175"/>
      <c r="DF81" s="1175"/>
      <c r="DG81" s="1175"/>
      <c r="DH81" s="1175"/>
      <c r="DI81" s="1175"/>
      <c r="DJ81" s="1175"/>
      <c r="DK81" s="1175"/>
      <c r="DL81" s="1175"/>
      <c r="DM81" s="1175"/>
      <c r="DN81" s="1175"/>
      <c r="DO81" s="1175"/>
      <c r="DP81" s="1175"/>
      <c r="DQ81" s="1175"/>
      <c r="DR81" s="1175"/>
      <c r="DS81" s="1175"/>
    </row>
    <row r="82" spans="5:123" s="1187" customFormat="1" ht="18" customHeight="1" x14ac:dyDescent="0.3">
      <c r="E82" s="1175"/>
      <c r="F82" s="1175"/>
      <c r="G82" s="1175"/>
      <c r="H82" s="1175"/>
      <c r="I82" s="1175"/>
      <c r="J82" s="1175"/>
      <c r="K82" s="1175"/>
      <c r="L82" s="1175"/>
      <c r="M82" s="1175"/>
      <c r="N82" s="1175"/>
      <c r="O82" s="1175"/>
      <c r="P82" s="1175"/>
      <c r="Q82" s="1175"/>
      <c r="R82" s="1175"/>
      <c r="S82" s="1175"/>
      <c r="T82" s="1175"/>
      <c r="U82" s="1175"/>
      <c r="V82" s="1175"/>
      <c r="W82" s="1175"/>
      <c r="X82" s="1175"/>
      <c r="Y82" s="1175"/>
      <c r="Z82" s="1175"/>
      <c r="AA82" s="1175"/>
      <c r="AB82" s="1175"/>
      <c r="AC82" s="1175"/>
      <c r="AD82" s="1175"/>
      <c r="AE82" s="1175"/>
      <c r="AF82" s="1175"/>
      <c r="AG82" s="1175"/>
      <c r="AH82" s="1175"/>
      <c r="AI82" s="1175"/>
      <c r="AJ82" s="1175"/>
      <c r="AK82" s="1175"/>
      <c r="AL82" s="1175"/>
      <c r="AM82" s="1175"/>
      <c r="AN82" s="1175"/>
      <c r="AO82" s="1175"/>
      <c r="AP82" s="1175"/>
      <c r="AQ82" s="1175"/>
      <c r="AR82" s="1175"/>
      <c r="AS82" s="1175"/>
      <c r="AT82" s="1175"/>
      <c r="AU82" s="1175"/>
      <c r="AV82" s="1175"/>
      <c r="AW82" s="1175"/>
      <c r="AX82" s="1175"/>
      <c r="AY82" s="1175"/>
      <c r="AZ82" s="1175"/>
      <c r="BA82" s="1175"/>
      <c r="BB82" s="1175"/>
      <c r="BC82" s="1175"/>
      <c r="BD82" s="1175"/>
      <c r="BE82" s="1175"/>
      <c r="BF82" s="1175"/>
      <c r="BG82" s="1175"/>
      <c r="BH82" s="1175"/>
      <c r="BI82" s="1175"/>
      <c r="BJ82" s="1175"/>
      <c r="BK82" s="1175"/>
      <c r="BL82" s="1175"/>
      <c r="BM82" s="1175"/>
      <c r="BN82" s="1175"/>
      <c r="BO82" s="1175"/>
      <c r="BP82" s="1175"/>
      <c r="BQ82" s="1175"/>
      <c r="BR82" s="1175"/>
      <c r="BS82" s="1175"/>
      <c r="BT82" s="1175"/>
      <c r="BU82" s="1175"/>
      <c r="BV82" s="1175"/>
      <c r="BW82" s="1175"/>
      <c r="BX82" s="1175"/>
      <c r="BY82" s="1175"/>
      <c r="BZ82" s="1175"/>
      <c r="CA82" s="1175"/>
      <c r="CB82" s="1175"/>
      <c r="CC82" s="1175"/>
      <c r="CD82" s="1175"/>
      <c r="CE82" s="1175"/>
      <c r="CF82" s="1175"/>
      <c r="CG82" s="1175"/>
      <c r="CH82" s="1175"/>
      <c r="CI82" s="1175"/>
      <c r="CJ82" s="1175"/>
      <c r="CK82" s="1175"/>
      <c r="CL82" s="1175"/>
      <c r="CM82" s="1175"/>
      <c r="CN82" s="1175"/>
      <c r="CO82" s="1175"/>
      <c r="CP82" s="1175"/>
      <c r="CQ82" s="1175"/>
      <c r="CR82" s="1175"/>
      <c r="CS82" s="1175"/>
      <c r="CT82" s="1175"/>
      <c r="CU82" s="1175"/>
      <c r="CV82" s="1175"/>
      <c r="CW82" s="1175"/>
      <c r="CX82" s="1175"/>
      <c r="CY82" s="1175"/>
      <c r="CZ82" s="1175"/>
      <c r="DA82" s="1175"/>
      <c r="DB82" s="1175"/>
      <c r="DC82" s="1175"/>
      <c r="DD82" s="1175"/>
      <c r="DE82" s="1175"/>
      <c r="DF82" s="1175"/>
      <c r="DG82" s="1175"/>
      <c r="DH82" s="1175"/>
      <c r="DI82" s="1175"/>
      <c r="DJ82" s="1175"/>
      <c r="DK82" s="1175"/>
      <c r="DL82" s="1175"/>
      <c r="DM82" s="1175"/>
      <c r="DN82" s="1175"/>
      <c r="DO82" s="1175"/>
      <c r="DP82" s="1175"/>
      <c r="DQ82" s="1175"/>
      <c r="DR82" s="1175"/>
      <c r="DS82" s="1175"/>
    </row>
    <row r="83" spans="5:123" s="1187" customFormat="1" ht="18" customHeight="1" x14ac:dyDescent="0.3">
      <c r="E83" s="1175"/>
      <c r="F83" s="1175"/>
      <c r="G83" s="1175"/>
      <c r="H83" s="1175"/>
      <c r="I83" s="1175"/>
      <c r="J83" s="1175"/>
      <c r="K83" s="1175"/>
      <c r="L83" s="1175"/>
      <c r="M83" s="1175"/>
      <c r="N83" s="1175"/>
      <c r="O83" s="1175"/>
      <c r="P83" s="1175"/>
      <c r="Q83" s="1175"/>
      <c r="R83" s="1175"/>
      <c r="S83" s="1175"/>
      <c r="T83" s="1175"/>
      <c r="U83" s="1175"/>
      <c r="V83" s="1175"/>
      <c r="W83" s="1175"/>
      <c r="X83" s="1175"/>
      <c r="Y83" s="1175"/>
      <c r="Z83" s="1175"/>
      <c r="AA83" s="1175"/>
      <c r="AB83" s="1175"/>
      <c r="AC83" s="1175"/>
      <c r="AD83" s="1175"/>
      <c r="AE83" s="1175"/>
      <c r="AF83" s="1175"/>
      <c r="AG83" s="1175"/>
      <c r="AH83" s="1175"/>
      <c r="AI83" s="1175"/>
      <c r="AJ83" s="1175"/>
      <c r="AK83" s="1175"/>
      <c r="AL83" s="1175"/>
      <c r="AM83" s="1175"/>
      <c r="AN83" s="1175"/>
      <c r="AO83" s="1175"/>
      <c r="AP83" s="1175"/>
      <c r="AQ83" s="1175"/>
      <c r="AR83" s="1175"/>
      <c r="AS83" s="1175"/>
      <c r="AT83" s="1175"/>
      <c r="AU83" s="1175"/>
      <c r="AV83" s="1175"/>
      <c r="AW83" s="1175"/>
      <c r="AX83" s="1175"/>
      <c r="AY83" s="1175"/>
      <c r="AZ83" s="1175"/>
      <c r="BA83" s="1175"/>
      <c r="BB83" s="1175"/>
      <c r="BC83" s="1175"/>
      <c r="BD83" s="1175"/>
      <c r="BE83" s="1175"/>
      <c r="BF83" s="1175"/>
      <c r="BG83" s="1175"/>
      <c r="BH83" s="1175"/>
      <c r="BI83" s="1175"/>
      <c r="BJ83" s="1175"/>
      <c r="BK83" s="1175"/>
      <c r="BL83" s="1175"/>
      <c r="BM83" s="1175"/>
      <c r="BN83" s="1175"/>
      <c r="BO83" s="1175"/>
      <c r="BP83" s="1175"/>
      <c r="BQ83" s="1175"/>
      <c r="BR83" s="1175"/>
      <c r="BS83" s="1175"/>
      <c r="BT83" s="1175"/>
      <c r="BU83" s="1175"/>
      <c r="BV83" s="1175"/>
      <c r="BW83" s="1175"/>
      <c r="BX83" s="1175"/>
      <c r="BY83" s="1175"/>
      <c r="BZ83" s="1175"/>
      <c r="CA83" s="1175"/>
      <c r="CB83" s="1175"/>
      <c r="CC83" s="1175"/>
      <c r="CD83" s="1175"/>
      <c r="CE83" s="1175"/>
      <c r="CF83" s="1175"/>
      <c r="CG83" s="1175"/>
      <c r="CH83" s="1175"/>
      <c r="CI83" s="1175"/>
      <c r="CJ83" s="1175"/>
      <c r="CK83" s="1175"/>
      <c r="CL83" s="1175"/>
      <c r="CM83" s="1175"/>
      <c r="CN83" s="1175"/>
      <c r="CO83" s="1175"/>
      <c r="CP83" s="1175"/>
      <c r="CQ83" s="1175"/>
      <c r="CR83" s="1175"/>
      <c r="CS83" s="1175"/>
      <c r="CT83" s="1175"/>
      <c r="CU83" s="1175"/>
      <c r="CV83" s="1175"/>
      <c r="CW83" s="1175"/>
      <c r="CX83" s="1175"/>
      <c r="CY83" s="1175"/>
      <c r="CZ83" s="1175"/>
      <c r="DA83" s="1175"/>
      <c r="DB83" s="1175"/>
      <c r="DC83" s="1175"/>
      <c r="DD83" s="1175"/>
      <c r="DE83" s="1175"/>
      <c r="DF83" s="1175"/>
      <c r="DG83" s="1175"/>
      <c r="DH83" s="1175"/>
      <c r="DI83" s="1175"/>
      <c r="DJ83" s="1175"/>
      <c r="DK83" s="1175"/>
      <c r="DL83" s="1175"/>
      <c r="DM83" s="1175"/>
      <c r="DN83" s="1175"/>
      <c r="DO83" s="1175"/>
      <c r="DP83" s="1175"/>
      <c r="DQ83" s="1175"/>
      <c r="DR83" s="1175"/>
      <c r="DS83" s="1175"/>
    </row>
    <row r="84" spans="5:123" s="1187" customFormat="1" ht="18" customHeight="1" x14ac:dyDescent="0.3">
      <c r="E84" s="1175"/>
      <c r="F84" s="1175"/>
      <c r="G84" s="1175"/>
      <c r="H84" s="1175"/>
      <c r="I84" s="1175"/>
      <c r="J84" s="1175"/>
      <c r="K84" s="1175"/>
      <c r="L84" s="1175"/>
      <c r="M84" s="1175"/>
      <c r="N84" s="1175"/>
      <c r="O84" s="1175"/>
      <c r="P84" s="1175"/>
      <c r="Q84" s="1175"/>
      <c r="R84" s="1175"/>
      <c r="S84" s="1175"/>
      <c r="T84" s="1175"/>
      <c r="U84" s="1175"/>
      <c r="V84" s="1175"/>
      <c r="W84" s="1175"/>
      <c r="X84" s="1175"/>
      <c r="Y84" s="1175"/>
      <c r="Z84" s="1175"/>
      <c r="AA84" s="1175"/>
      <c r="AB84" s="1175"/>
      <c r="AC84" s="1175"/>
      <c r="AD84" s="1175"/>
      <c r="AE84" s="1175"/>
      <c r="AF84" s="1175"/>
      <c r="AG84" s="1175"/>
      <c r="AH84" s="1175"/>
      <c r="AI84" s="1175"/>
      <c r="AJ84" s="1175"/>
      <c r="AK84" s="1175"/>
      <c r="AL84" s="1175"/>
      <c r="AM84" s="1175"/>
      <c r="AN84" s="1175"/>
      <c r="AO84" s="1175"/>
      <c r="AP84" s="1175"/>
      <c r="AQ84" s="1175"/>
      <c r="AR84" s="1175"/>
      <c r="AS84" s="1175"/>
      <c r="AT84" s="1175"/>
      <c r="AU84" s="1175"/>
      <c r="AV84" s="1175"/>
      <c r="AW84" s="1175"/>
      <c r="AX84" s="1175"/>
      <c r="AY84" s="1175"/>
      <c r="AZ84" s="1175"/>
      <c r="BA84" s="1175"/>
      <c r="BB84" s="1175"/>
      <c r="BC84" s="1175"/>
      <c r="BD84" s="1175"/>
      <c r="BE84" s="1175"/>
      <c r="BF84" s="1175"/>
      <c r="BG84" s="1175"/>
      <c r="BH84" s="1175"/>
      <c r="BI84" s="1175"/>
      <c r="BJ84" s="1175"/>
      <c r="BK84" s="1175"/>
      <c r="BL84" s="1175"/>
      <c r="BM84" s="1175"/>
      <c r="BN84" s="1175"/>
      <c r="BO84" s="1175"/>
      <c r="BP84" s="1175"/>
      <c r="BQ84" s="1175"/>
      <c r="BR84" s="1175"/>
      <c r="BS84" s="1175"/>
      <c r="BT84" s="1175"/>
      <c r="BU84" s="1175"/>
      <c r="BV84" s="1175"/>
      <c r="BW84" s="1175"/>
      <c r="BX84" s="1175"/>
      <c r="BY84" s="1175"/>
      <c r="BZ84" s="1175"/>
      <c r="CA84" s="1175"/>
      <c r="CB84" s="1175"/>
      <c r="CC84" s="1175"/>
      <c r="CD84" s="1175"/>
      <c r="CE84" s="1175"/>
      <c r="CF84" s="1175"/>
      <c r="CG84" s="1175"/>
      <c r="CH84" s="1175"/>
      <c r="CI84" s="1175"/>
      <c r="CJ84" s="1175"/>
      <c r="CK84" s="1175"/>
      <c r="CL84" s="1175"/>
      <c r="CM84" s="1175"/>
      <c r="CN84" s="1175"/>
      <c r="CO84" s="1175"/>
      <c r="CP84" s="1175"/>
      <c r="CQ84" s="1175"/>
      <c r="CR84" s="1175"/>
      <c r="CS84" s="1175"/>
      <c r="CT84" s="1175"/>
      <c r="CU84" s="1175"/>
      <c r="CV84" s="1175"/>
      <c r="CW84" s="1175"/>
      <c r="CX84" s="1175"/>
      <c r="CY84" s="1175"/>
      <c r="CZ84" s="1175"/>
      <c r="DA84" s="1175"/>
      <c r="DB84" s="1175"/>
      <c r="DC84" s="1175"/>
      <c r="DD84" s="1175"/>
      <c r="DE84" s="1175"/>
      <c r="DF84" s="1175"/>
      <c r="DG84" s="1175"/>
      <c r="DH84" s="1175"/>
      <c r="DI84" s="1175"/>
      <c r="DJ84" s="1175"/>
      <c r="DK84" s="1175"/>
      <c r="DL84" s="1175"/>
      <c r="DM84" s="1175"/>
      <c r="DN84" s="1175"/>
      <c r="DO84" s="1175"/>
      <c r="DP84" s="1175"/>
      <c r="DQ84" s="1175"/>
      <c r="DR84" s="1175"/>
      <c r="DS84" s="1175"/>
    </row>
    <row r="85" spans="5:123" s="1187" customFormat="1" ht="18" customHeight="1" x14ac:dyDescent="0.3">
      <c r="E85" s="1175"/>
      <c r="F85" s="1175"/>
      <c r="G85" s="1175"/>
      <c r="H85" s="1175"/>
      <c r="I85" s="1175"/>
      <c r="J85" s="1175"/>
      <c r="K85" s="1175"/>
      <c r="L85" s="1175"/>
      <c r="M85" s="1175"/>
      <c r="N85" s="1175"/>
      <c r="O85" s="1175"/>
      <c r="P85" s="1175"/>
      <c r="Q85" s="1175"/>
      <c r="R85" s="1175"/>
      <c r="S85" s="1175"/>
      <c r="T85" s="1175"/>
      <c r="U85" s="1175"/>
      <c r="V85" s="1175"/>
      <c r="W85" s="1175"/>
      <c r="X85" s="1175"/>
      <c r="Y85" s="1175"/>
      <c r="Z85" s="1175"/>
      <c r="AA85" s="1175"/>
      <c r="AB85" s="1175"/>
      <c r="AC85" s="1175"/>
      <c r="AD85" s="1175"/>
      <c r="AE85" s="1175"/>
      <c r="AF85" s="1175"/>
      <c r="AG85" s="1175"/>
      <c r="AH85" s="1175"/>
      <c r="AI85" s="1175"/>
      <c r="AJ85" s="1175"/>
      <c r="AK85" s="1175"/>
      <c r="AL85" s="1175"/>
      <c r="AM85" s="1175"/>
      <c r="AN85" s="1175"/>
      <c r="AO85" s="1175"/>
      <c r="AP85" s="1175"/>
      <c r="AQ85" s="1175"/>
      <c r="AR85" s="1175"/>
      <c r="AS85" s="1175"/>
      <c r="AT85" s="1175"/>
      <c r="AU85" s="1175"/>
      <c r="AV85" s="1175"/>
      <c r="AW85" s="1175"/>
      <c r="AX85" s="1175"/>
      <c r="AY85" s="1175"/>
      <c r="AZ85" s="1175"/>
      <c r="BA85" s="1175"/>
      <c r="BB85" s="1175"/>
      <c r="BC85" s="1175"/>
      <c r="BD85" s="1175"/>
      <c r="BE85" s="1175"/>
      <c r="BF85" s="1175"/>
      <c r="BG85" s="1175"/>
      <c r="BH85" s="1175"/>
      <c r="BI85" s="1175"/>
      <c r="BJ85" s="1175"/>
      <c r="BK85" s="1175"/>
      <c r="BL85" s="1175"/>
      <c r="BM85" s="1175"/>
      <c r="BN85" s="1175"/>
      <c r="BO85" s="1175"/>
      <c r="BP85" s="1175"/>
      <c r="BQ85" s="1175"/>
      <c r="BR85" s="1175"/>
      <c r="BS85" s="1175"/>
      <c r="BT85" s="1175"/>
      <c r="BU85" s="1175"/>
      <c r="BV85" s="1175"/>
      <c r="BW85" s="1175"/>
      <c r="BX85" s="1175"/>
      <c r="BY85" s="1175"/>
      <c r="BZ85" s="1175"/>
      <c r="CA85" s="1175"/>
      <c r="CB85" s="1175"/>
      <c r="CC85" s="1175"/>
      <c r="CD85" s="1175"/>
      <c r="CE85" s="1175"/>
      <c r="CF85" s="1175"/>
      <c r="CG85" s="1175"/>
      <c r="CH85" s="1175"/>
      <c r="CI85" s="1175"/>
      <c r="CJ85" s="1175"/>
      <c r="CK85" s="1175"/>
      <c r="CL85" s="1175"/>
      <c r="CM85" s="1175"/>
      <c r="CN85" s="1175"/>
      <c r="CO85" s="1175"/>
      <c r="CP85" s="1175"/>
      <c r="CQ85" s="1175"/>
      <c r="CR85" s="1175"/>
      <c r="CS85" s="1175"/>
      <c r="CT85" s="1175"/>
      <c r="CU85" s="1175"/>
      <c r="CV85" s="1175"/>
      <c r="CW85" s="1175"/>
      <c r="CX85" s="1175"/>
      <c r="CY85" s="1175"/>
      <c r="CZ85" s="1175"/>
      <c r="DA85" s="1175"/>
      <c r="DB85" s="1175"/>
      <c r="DC85" s="1175"/>
      <c r="DD85" s="1175"/>
      <c r="DE85" s="1175"/>
      <c r="DF85" s="1175"/>
      <c r="DG85" s="1175"/>
      <c r="DH85" s="1175"/>
      <c r="DI85" s="1175"/>
      <c r="DJ85" s="1175"/>
      <c r="DK85" s="1175"/>
      <c r="DL85" s="1175"/>
      <c r="DM85" s="1175"/>
      <c r="DN85" s="1175"/>
      <c r="DO85" s="1175"/>
      <c r="DP85" s="1175"/>
      <c r="DQ85" s="1175"/>
      <c r="DR85" s="1175"/>
      <c r="DS85" s="1175"/>
    </row>
    <row r="86" spans="5:123" s="1187" customFormat="1" ht="18" customHeight="1" x14ac:dyDescent="0.3">
      <c r="E86" s="1175"/>
      <c r="F86" s="1175"/>
      <c r="G86" s="1175"/>
      <c r="H86" s="1175"/>
      <c r="I86" s="1175"/>
      <c r="J86" s="1175"/>
      <c r="K86" s="1175"/>
      <c r="L86" s="1175"/>
      <c r="M86" s="1175"/>
      <c r="N86" s="1175"/>
      <c r="O86" s="1175"/>
      <c r="P86" s="1175"/>
      <c r="Q86" s="1175"/>
      <c r="R86" s="1175"/>
      <c r="S86" s="1175"/>
      <c r="T86" s="1175"/>
      <c r="U86" s="1175"/>
      <c r="V86" s="1175"/>
      <c r="W86" s="1175"/>
      <c r="X86" s="1175"/>
      <c r="Y86" s="1175"/>
      <c r="Z86" s="1175"/>
      <c r="AA86" s="1175"/>
      <c r="AB86" s="1175"/>
      <c r="AC86" s="1175"/>
      <c r="AD86" s="1175"/>
      <c r="AE86" s="1175"/>
      <c r="AF86" s="1175"/>
      <c r="AG86" s="1175"/>
      <c r="AH86" s="1175"/>
      <c r="AI86" s="1175"/>
      <c r="AJ86" s="1175"/>
      <c r="AK86" s="1175"/>
      <c r="AL86" s="1175"/>
      <c r="AM86" s="1175"/>
      <c r="AN86" s="1175"/>
      <c r="AO86" s="1175"/>
      <c r="AP86" s="1175"/>
      <c r="AQ86" s="1175"/>
      <c r="AR86" s="1175"/>
      <c r="AS86" s="1175"/>
      <c r="AT86" s="1175"/>
      <c r="AU86" s="1175"/>
      <c r="AV86" s="1175"/>
      <c r="AW86" s="1175"/>
      <c r="AX86" s="1175"/>
      <c r="AY86" s="1175"/>
      <c r="AZ86" s="1175"/>
      <c r="BA86" s="1175"/>
      <c r="BB86" s="1175"/>
      <c r="BC86" s="1175"/>
      <c r="BD86" s="1175"/>
      <c r="BE86" s="1175"/>
      <c r="BF86" s="1175"/>
      <c r="BG86" s="1175"/>
      <c r="BH86" s="1175"/>
      <c r="BI86" s="1175"/>
      <c r="BJ86" s="1175"/>
      <c r="BK86" s="1175"/>
      <c r="BL86" s="1175"/>
      <c r="BM86" s="1175"/>
      <c r="BN86" s="1175"/>
      <c r="BO86" s="1175"/>
      <c r="BP86" s="1175"/>
      <c r="BQ86" s="1175"/>
      <c r="BR86" s="1175"/>
      <c r="BS86" s="1175"/>
      <c r="BT86" s="1175"/>
      <c r="BU86" s="1175"/>
      <c r="BV86" s="1175"/>
      <c r="BW86" s="1175"/>
      <c r="BX86" s="1175"/>
      <c r="BY86" s="1175"/>
      <c r="BZ86" s="1175"/>
      <c r="CA86" s="1175"/>
      <c r="CB86" s="1175"/>
      <c r="CC86" s="1175"/>
      <c r="CD86" s="1175"/>
      <c r="CE86" s="1175"/>
      <c r="CF86" s="1175"/>
      <c r="CG86" s="1175"/>
      <c r="CH86" s="1175"/>
      <c r="CI86" s="1175"/>
      <c r="CJ86" s="1175"/>
      <c r="CK86" s="1175"/>
      <c r="CL86" s="1175"/>
      <c r="CM86" s="1175"/>
      <c r="CN86" s="1175"/>
      <c r="CO86" s="1175"/>
      <c r="CP86" s="1175"/>
      <c r="CQ86" s="1175"/>
      <c r="CR86" s="1175"/>
      <c r="CS86" s="1175"/>
      <c r="CT86" s="1175"/>
      <c r="CU86" s="1175"/>
      <c r="CV86" s="1175"/>
      <c r="CW86" s="1175"/>
      <c r="CX86" s="1175"/>
      <c r="CY86" s="1175"/>
      <c r="CZ86" s="1175"/>
      <c r="DA86" s="1175"/>
      <c r="DB86" s="1175"/>
      <c r="DC86" s="1175"/>
      <c r="DD86" s="1175"/>
      <c r="DE86" s="1175"/>
      <c r="DF86" s="1175"/>
      <c r="DG86" s="1175"/>
      <c r="DH86" s="1175"/>
      <c r="DI86" s="1175"/>
      <c r="DJ86" s="1175"/>
      <c r="DK86" s="1175"/>
      <c r="DL86" s="1175"/>
      <c r="DM86" s="1175"/>
      <c r="DN86" s="1175"/>
      <c r="DO86" s="1175"/>
      <c r="DP86" s="1175"/>
      <c r="DQ86" s="1175"/>
      <c r="DR86" s="1175"/>
      <c r="DS86" s="1175"/>
    </row>
    <row r="87" spans="5:123" s="1187" customFormat="1" ht="18" customHeight="1" x14ac:dyDescent="0.3">
      <c r="E87" s="1175"/>
      <c r="F87" s="1175"/>
      <c r="G87" s="1175"/>
      <c r="H87" s="1175"/>
      <c r="I87" s="1175"/>
      <c r="J87" s="1175"/>
      <c r="K87" s="1175"/>
      <c r="L87" s="1175"/>
      <c r="M87" s="1175"/>
      <c r="N87" s="1175"/>
      <c r="O87" s="1175"/>
      <c r="P87" s="1175"/>
      <c r="Q87" s="1175"/>
      <c r="R87" s="1175"/>
      <c r="S87" s="1175"/>
      <c r="T87" s="1175"/>
      <c r="U87" s="1175"/>
      <c r="V87" s="1175"/>
      <c r="W87" s="1175"/>
      <c r="X87" s="1175"/>
      <c r="Y87" s="1175"/>
      <c r="Z87" s="1175"/>
      <c r="AA87" s="1175"/>
      <c r="AB87" s="1175"/>
      <c r="AC87" s="1175"/>
      <c r="AD87" s="1175"/>
      <c r="AE87" s="1175"/>
      <c r="AF87" s="1175"/>
      <c r="AG87" s="1175"/>
      <c r="AH87" s="1175"/>
      <c r="AI87" s="1175"/>
      <c r="AJ87" s="1175"/>
      <c r="AK87" s="1175"/>
      <c r="AL87" s="1175"/>
      <c r="AM87" s="1175"/>
      <c r="AN87" s="1175"/>
      <c r="AO87" s="1175"/>
      <c r="AP87" s="1175"/>
      <c r="AQ87" s="1175"/>
      <c r="AR87" s="1175"/>
      <c r="AS87" s="1175"/>
      <c r="AT87" s="1175"/>
      <c r="AU87" s="1175"/>
      <c r="AV87" s="1175"/>
      <c r="AW87" s="1175"/>
      <c r="AX87" s="1175"/>
      <c r="AY87" s="1175"/>
      <c r="AZ87" s="1175"/>
      <c r="BA87" s="1175"/>
      <c r="BB87" s="1175"/>
      <c r="BC87" s="1175"/>
      <c r="BD87" s="1175"/>
      <c r="BE87" s="1175"/>
      <c r="BF87" s="1175"/>
      <c r="BG87" s="1175"/>
      <c r="BH87" s="1175"/>
      <c r="BI87" s="1175"/>
      <c r="BJ87" s="1175"/>
      <c r="BK87" s="1175"/>
      <c r="BL87" s="1175"/>
      <c r="BM87" s="1175"/>
      <c r="BN87" s="1175"/>
      <c r="BO87" s="1175"/>
      <c r="BP87" s="1175"/>
      <c r="BQ87" s="1175"/>
      <c r="BR87" s="1175"/>
      <c r="BS87" s="1175"/>
      <c r="BT87" s="1175"/>
      <c r="BU87" s="1175"/>
      <c r="BV87" s="1175"/>
      <c r="BW87" s="1175"/>
      <c r="BX87" s="1175"/>
      <c r="BY87" s="1175"/>
      <c r="BZ87" s="1175"/>
      <c r="CA87" s="1175"/>
      <c r="CB87" s="1175"/>
      <c r="CC87" s="1175"/>
      <c r="CD87" s="1175"/>
      <c r="CE87" s="1175"/>
      <c r="CF87" s="1175"/>
      <c r="CG87" s="1175"/>
      <c r="CH87" s="1175"/>
      <c r="CI87" s="1175"/>
      <c r="CJ87" s="1175"/>
      <c r="CK87" s="1175"/>
      <c r="CL87" s="1175"/>
      <c r="CM87" s="1175"/>
      <c r="CN87" s="1175"/>
      <c r="CO87" s="1175"/>
      <c r="CP87" s="1175"/>
      <c r="CQ87" s="1175"/>
      <c r="CR87" s="1175"/>
      <c r="CS87" s="1175"/>
      <c r="CT87" s="1175"/>
      <c r="CU87" s="1175"/>
      <c r="CV87" s="1175"/>
      <c r="CW87" s="1175"/>
      <c r="CX87" s="1175"/>
      <c r="CY87" s="1175"/>
      <c r="CZ87" s="1175"/>
      <c r="DA87" s="1175"/>
      <c r="DB87" s="1175"/>
      <c r="DC87" s="1175"/>
      <c r="DD87" s="1175"/>
      <c r="DE87" s="1175"/>
      <c r="DF87" s="1175"/>
      <c r="DG87" s="1175"/>
      <c r="DH87" s="1175"/>
      <c r="DI87" s="1175"/>
      <c r="DJ87" s="1175"/>
      <c r="DK87" s="1175"/>
      <c r="DL87" s="1175"/>
      <c r="DM87" s="1175"/>
      <c r="DN87" s="1175"/>
      <c r="DO87" s="1175"/>
      <c r="DP87" s="1175"/>
      <c r="DQ87" s="1175"/>
      <c r="DR87" s="1175"/>
      <c r="DS87" s="1175"/>
    </row>
    <row r="88" spans="5:123" s="1187" customFormat="1" ht="18" customHeight="1" x14ac:dyDescent="0.3">
      <c r="E88" s="1175"/>
      <c r="F88" s="1175"/>
      <c r="G88" s="1175"/>
      <c r="H88" s="1175"/>
      <c r="I88" s="1175"/>
      <c r="J88" s="1175"/>
      <c r="K88" s="1175"/>
      <c r="L88" s="1175"/>
      <c r="M88" s="1175"/>
      <c r="N88" s="1175"/>
      <c r="O88" s="1175"/>
      <c r="P88" s="1175"/>
      <c r="Q88" s="1175"/>
      <c r="R88" s="1175"/>
      <c r="S88" s="1175"/>
      <c r="T88" s="1175"/>
      <c r="U88" s="1175"/>
      <c r="V88" s="1175"/>
      <c r="W88" s="1175"/>
      <c r="X88" s="1175"/>
      <c r="Y88" s="1175"/>
      <c r="Z88" s="1175"/>
      <c r="AA88" s="1175"/>
      <c r="AB88" s="1175"/>
      <c r="AC88" s="1175"/>
      <c r="AD88" s="1175"/>
      <c r="AE88" s="1175"/>
      <c r="AF88" s="1175"/>
      <c r="AG88" s="1175"/>
      <c r="AH88" s="1175"/>
      <c r="AI88" s="1175"/>
      <c r="AJ88" s="1175"/>
      <c r="AK88" s="1175"/>
      <c r="AL88" s="1175"/>
      <c r="AM88" s="1175"/>
      <c r="AN88" s="1175"/>
      <c r="AO88" s="1175"/>
      <c r="AP88" s="1175"/>
      <c r="AQ88" s="1175"/>
      <c r="AR88" s="1175"/>
      <c r="AS88" s="1175"/>
      <c r="AT88" s="1175"/>
      <c r="AU88" s="1175"/>
      <c r="AV88" s="1175"/>
      <c r="AW88" s="1175"/>
      <c r="AX88" s="1175"/>
      <c r="AY88" s="1175"/>
      <c r="AZ88" s="1175"/>
      <c r="BA88" s="1175"/>
      <c r="BB88" s="1175"/>
      <c r="BC88" s="1175"/>
      <c r="BD88" s="1175"/>
      <c r="BE88" s="1175"/>
      <c r="BF88" s="1175"/>
      <c r="BG88" s="1175"/>
      <c r="BH88" s="1175"/>
      <c r="BI88" s="1175"/>
      <c r="BJ88" s="1175"/>
      <c r="BK88" s="1175"/>
      <c r="BL88" s="1175"/>
      <c r="BM88" s="1175"/>
      <c r="BN88" s="1175"/>
      <c r="BO88" s="1175"/>
      <c r="BP88" s="1175"/>
      <c r="BQ88" s="1175"/>
      <c r="BR88" s="1175"/>
      <c r="BS88" s="1175"/>
      <c r="BT88" s="1175"/>
      <c r="BU88" s="1175"/>
      <c r="BV88" s="1175"/>
      <c r="BW88" s="1175"/>
      <c r="BX88" s="1175"/>
      <c r="BY88" s="1175"/>
      <c r="BZ88" s="1175"/>
      <c r="CA88" s="1175"/>
      <c r="CB88" s="1175"/>
      <c r="CC88" s="1175"/>
      <c r="CD88" s="1175"/>
      <c r="CE88" s="1175"/>
      <c r="CF88" s="1175"/>
      <c r="CG88" s="1175"/>
      <c r="CH88" s="1175"/>
      <c r="CI88" s="1175"/>
      <c r="CJ88" s="1175"/>
      <c r="CK88" s="1175"/>
      <c r="CL88" s="1175"/>
      <c r="CM88" s="1175"/>
      <c r="CN88" s="1175"/>
      <c r="CO88" s="1175"/>
      <c r="CP88" s="1175"/>
      <c r="CQ88" s="1175"/>
      <c r="CR88" s="1175"/>
      <c r="CS88" s="1175"/>
      <c r="CT88" s="1175"/>
      <c r="CU88" s="1175"/>
      <c r="CV88" s="1175"/>
      <c r="CW88" s="1175"/>
      <c r="CX88" s="1175"/>
      <c r="CY88" s="1175"/>
      <c r="CZ88" s="1175"/>
      <c r="DA88" s="1175"/>
      <c r="DB88" s="1175"/>
      <c r="DC88" s="1175"/>
      <c r="DD88" s="1175"/>
      <c r="DE88" s="1175"/>
      <c r="DF88" s="1175"/>
      <c r="DG88" s="1175"/>
      <c r="DH88" s="1175"/>
      <c r="DI88" s="1175"/>
      <c r="DJ88" s="1175"/>
      <c r="DK88" s="1175"/>
      <c r="DL88" s="1175"/>
      <c r="DM88" s="1175"/>
      <c r="DN88" s="1175"/>
      <c r="DO88" s="1175"/>
      <c r="DP88" s="1175"/>
      <c r="DQ88" s="1175"/>
      <c r="DR88" s="1175"/>
      <c r="DS88" s="1175"/>
    </row>
    <row r="89" spans="5:123" s="1187" customFormat="1" ht="18" customHeight="1" x14ac:dyDescent="0.3">
      <c r="E89" s="1175"/>
      <c r="F89" s="1175"/>
      <c r="G89" s="1175"/>
      <c r="H89" s="1175"/>
      <c r="I89" s="1175"/>
      <c r="J89" s="1175"/>
      <c r="K89" s="1175"/>
      <c r="L89" s="1175"/>
      <c r="M89" s="1175"/>
      <c r="N89" s="1175"/>
      <c r="O89" s="1175"/>
      <c r="P89" s="1175"/>
      <c r="Q89" s="1175"/>
      <c r="R89" s="1175"/>
      <c r="S89" s="1175"/>
      <c r="T89" s="1175"/>
      <c r="U89" s="1175"/>
      <c r="V89" s="1175"/>
      <c r="W89" s="1175"/>
      <c r="X89" s="1175"/>
      <c r="Y89" s="1175"/>
      <c r="Z89" s="1175"/>
      <c r="AA89" s="1175"/>
      <c r="AB89" s="1175"/>
      <c r="AC89" s="1175"/>
      <c r="AD89" s="1175"/>
      <c r="AE89" s="1175"/>
      <c r="AF89" s="1175"/>
      <c r="AG89" s="1175"/>
      <c r="AH89" s="1175"/>
      <c r="AI89" s="1175"/>
      <c r="AJ89" s="1175"/>
      <c r="AK89" s="1175"/>
      <c r="AL89" s="1175"/>
      <c r="AM89" s="1175"/>
      <c r="AN89" s="1175"/>
      <c r="AO89" s="1175"/>
      <c r="AP89" s="1175"/>
      <c r="AQ89" s="1175"/>
      <c r="AR89" s="1175"/>
      <c r="AS89" s="1175"/>
      <c r="AT89" s="1175"/>
      <c r="AU89" s="1175"/>
      <c r="AV89" s="1175"/>
      <c r="AW89" s="1175"/>
      <c r="AX89" s="1175"/>
      <c r="AY89" s="1175"/>
      <c r="AZ89" s="1175"/>
      <c r="BA89" s="1175"/>
      <c r="BB89" s="1175"/>
      <c r="BC89" s="1175"/>
      <c r="BD89" s="1175"/>
      <c r="BE89" s="1175"/>
      <c r="BF89" s="1175"/>
      <c r="BG89" s="1175"/>
      <c r="BH89" s="1175"/>
      <c r="BI89" s="1175"/>
      <c r="BJ89" s="1175"/>
      <c r="BK89" s="1175"/>
      <c r="BL89" s="1175"/>
      <c r="BM89" s="1175"/>
      <c r="BN89" s="1175"/>
      <c r="BO89" s="1175"/>
      <c r="BP89" s="1175"/>
      <c r="BQ89" s="1175"/>
      <c r="BR89" s="1175"/>
      <c r="BS89" s="1175"/>
      <c r="BT89" s="1175"/>
      <c r="BU89" s="1175"/>
      <c r="BV89" s="1175"/>
      <c r="BW89" s="1175"/>
      <c r="BX89" s="1175"/>
      <c r="BY89" s="1175"/>
      <c r="BZ89" s="1175"/>
      <c r="CA89" s="1175"/>
      <c r="CB89" s="1175"/>
      <c r="CC89" s="1175"/>
      <c r="CD89" s="1175"/>
      <c r="CE89" s="1175"/>
      <c r="CF89" s="1175"/>
      <c r="CG89" s="1175"/>
      <c r="CH89" s="1175"/>
      <c r="CI89" s="1175"/>
      <c r="CJ89" s="1175"/>
      <c r="CK89" s="1175"/>
      <c r="CL89" s="1175"/>
      <c r="CM89" s="1175"/>
      <c r="CN89" s="1175"/>
      <c r="CO89" s="1175"/>
      <c r="CP89" s="1175"/>
      <c r="CQ89" s="1175"/>
      <c r="CR89" s="1175"/>
      <c r="CS89" s="1175"/>
      <c r="CT89" s="1175"/>
      <c r="CU89" s="1175"/>
      <c r="CV89" s="1175"/>
      <c r="CW89" s="1175"/>
      <c r="CX89" s="1175"/>
      <c r="CY89" s="1175"/>
      <c r="CZ89" s="1175"/>
      <c r="DA89" s="1175"/>
      <c r="DB89" s="1175"/>
      <c r="DC89" s="1175"/>
      <c r="DD89" s="1175"/>
      <c r="DE89" s="1175"/>
      <c r="DF89" s="1175"/>
      <c r="DG89" s="1175"/>
      <c r="DH89" s="1175"/>
      <c r="DI89" s="1175"/>
      <c r="DJ89" s="1175"/>
      <c r="DK89" s="1175"/>
      <c r="DL89" s="1175"/>
      <c r="DM89" s="1175"/>
      <c r="DN89" s="1175"/>
      <c r="DO89" s="1175"/>
      <c r="DP89" s="1175"/>
      <c r="DQ89" s="1175"/>
      <c r="DR89" s="1175"/>
      <c r="DS89" s="1175"/>
    </row>
    <row r="90" spans="5:123" s="1187" customFormat="1" ht="18" customHeight="1" x14ac:dyDescent="0.3">
      <c r="E90" s="1175"/>
      <c r="F90" s="1175"/>
      <c r="G90" s="1175"/>
      <c r="H90" s="1175"/>
      <c r="I90" s="1175"/>
      <c r="J90" s="1175"/>
      <c r="K90" s="1175"/>
      <c r="L90" s="1175"/>
      <c r="M90" s="1175"/>
      <c r="N90" s="1175"/>
      <c r="O90" s="1175"/>
      <c r="P90" s="1175"/>
      <c r="Q90" s="1175"/>
      <c r="R90" s="1175"/>
      <c r="S90" s="1175"/>
      <c r="T90" s="1175"/>
      <c r="U90" s="1175"/>
      <c r="V90" s="1175"/>
      <c r="W90" s="1175"/>
      <c r="X90" s="1175"/>
      <c r="Y90" s="1175"/>
      <c r="Z90" s="1175"/>
      <c r="AA90" s="1175"/>
      <c r="AB90" s="1175"/>
      <c r="AC90" s="1175"/>
      <c r="AD90" s="1175"/>
      <c r="AE90" s="1175"/>
      <c r="AF90" s="1175"/>
      <c r="AG90" s="1175"/>
      <c r="AH90" s="1175"/>
      <c r="AI90" s="1175"/>
      <c r="AJ90" s="1175"/>
      <c r="AK90" s="1175"/>
      <c r="AL90" s="1175"/>
      <c r="AM90" s="1175"/>
      <c r="AN90" s="1175"/>
      <c r="AO90" s="1175"/>
      <c r="AP90" s="1175"/>
      <c r="AQ90" s="1175"/>
      <c r="AR90" s="1175"/>
      <c r="AS90" s="1175"/>
      <c r="AT90" s="1175"/>
      <c r="AU90" s="1175"/>
      <c r="AV90" s="1175"/>
      <c r="AW90" s="1175"/>
      <c r="AX90" s="1175"/>
      <c r="AY90" s="1175"/>
      <c r="AZ90" s="1175"/>
      <c r="BA90" s="1175"/>
      <c r="BB90" s="1175"/>
      <c r="BC90" s="1175"/>
      <c r="BD90" s="1175"/>
      <c r="BE90" s="1175"/>
      <c r="BF90" s="1175"/>
      <c r="BG90" s="1175"/>
      <c r="BH90" s="1175"/>
      <c r="BI90" s="1175"/>
      <c r="BJ90" s="1175"/>
      <c r="BK90" s="1175"/>
      <c r="BL90" s="1175"/>
      <c r="BM90" s="1175"/>
      <c r="BN90" s="1175"/>
      <c r="BO90" s="1175"/>
      <c r="BP90" s="1175"/>
      <c r="BQ90" s="1175"/>
      <c r="BR90" s="1175"/>
      <c r="BS90" s="1175"/>
      <c r="BT90" s="1175"/>
      <c r="BU90" s="1175"/>
      <c r="BV90" s="1175"/>
      <c r="BW90" s="1175"/>
      <c r="BX90" s="1175"/>
      <c r="BY90" s="1175"/>
      <c r="BZ90" s="1175"/>
      <c r="CA90" s="1175"/>
      <c r="CB90" s="1175"/>
      <c r="CC90" s="1175"/>
      <c r="CD90" s="1175"/>
      <c r="CE90" s="1175"/>
      <c r="CF90" s="1175"/>
      <c r="CG90" s="1175"/>
      <c r="CH90" s="1175"/>
      <c r="CI90" s="1175"/>
      <c r="CJ90" s="1175"/>
      <c r="CK90" s="1175"/>
      <c r="CL90" s="1175"/>
      <c r="CM90" s="1175"/>
      <c r="CN90" s="1175"/>
      <c r="CO90" s="1175"/>
      <c r="CP90" s="1175"/>
      <c r="CQ90" s="1175"/>
      <c r="CR90" s="1175"/>
      <c r="CS90" s="1175"/>
      <c r="CT90" s="1175"/>
      <c r="CU90" s="1175"/>
      <c r="CV90" s="1175"/>
      <c r="CW90" s="1175"/>
      <c r="CX90" s="1175"/>
      <c r="CY90" s="1175"/>
      <c r="CZ90" s="1175"/>
      <c r="DA90" s="1175"/>
      <c r="DB90" s="1175"/>
      <c r="DC90" s="1175"/>
      <c r="DD90" s="1175"/>
      <c r="DE90" s="1175"/>
      <c r="DF90" s="1175"/>
      <c r="DG90" s="1175"/>
      <c r="DH90" s="1175"/>
      <c r="DI90" s="1175"/>
      <c r="DJ90" s="1175"/>
      <c r="DK90" s="1175"/>
      <c r="DL90" s="1175"/>
      <c r="DM90" s="1175"/>
      <c r="DN90" s="1175"/>
      <c r="DO90" s="1175"/>
      <c r="DP90" s="1175"/>
      <c r="DQ90" s="1175"/>
      <c r="DR90" s="1175"/>
      <c r="DS90" s="1175"/>
    </row>
    <row r="91" spans="5:123" s="1187" customFormat="1" ht="18" customHeight="1" x14ac:dyDescent="0.3">
      <c r="E91" s="1175"/>
      <c r="F91" s="1175"/>
      <c r="G91" s="1175"/>
      <c r="H91" s="1175"/>
      <c r="I91" s="1175"/>
      <c r="J91" s="1175"/>
      <c r="K91" s="1175"/>
      <c r="L91" s="1175"/>
      <c r="M91" s="1175"/>
      <c r="N91" s="1175"/>
      <c r="O91" s="1175"/>
      <c r="P91" s="1175"/>
      <c r="Q91" s="1175"/>
      <c r="R91" s="1175"/>
      <c r="S91" s="1175"/>
      <c r="T91" s="1175"/>
      <c r="U91" s="1175"/>
      <c r="V91" s="1175"/>
      <c r="W91" s="1175"/>
      <c r="X91" s="1175"/>
      <c r="Y91" s="1175"/>
      <c r="Z91" s="1175"/>
      <c r="AA91" s="1175"/>
      <c r="AB91" s="1175"/>
      <c r="AC91" s="1175"/>
      <c r="AD91" s="1175"/>
      <c r="AE91" s="1175"/>
      <c r="AF91" s="1175"/>
      <c r="AG91" s="1175"/>
      <c r="AH91" s="1175"/>
      <c r="AI91" s="1175"/>
      <c r="AJ91" s="1175"/>
      <c r="AK91" s="1175"/>
      <c r="AL91" s="1175"/>
      <c r="AM91" s="1175"/>
      <c r="AN91" s="1175"/>
      <c r="AO91" s="1175"/>
      <c r="AP91" s="1175"/>
      <c r="AQ91" s="1175"/>
      <c r="AR91" s="1175"/>
      <c r="AS91" s="1175"/>
      <c r="AT91" s="1175"/>
      <c r="AU91" s="1175"/>
      <c r="AV91" s="1175"/>
      <c r="AW91" s="1175"/>
      <c r="AX91" s="1175"/>
      <c r="AY91" s="1175"/>
      <c r="AZ91" s="1175"/>
      <c r="BA91" s="1175"/>
      <c r="BB91" s="1175"/>
      <c r="BC91" s="1175"/>
      <c r="BD91" s="1175"/>
      <c r="BE91" s="1175"/>
      <c r="BF91" s="1175"/>
      <c r="BG91" s="1175"/>
      <c r="BH91" s="1175"/>
      <c r="BI91" s="1175"/>
      <c r="BJ91" s="1175"/>
      <c r="BK91" s="1175"/>
      <c r="BL91" s="1175"/>
      <c r="BM91" s="1175"/>
      <c r="BN91" s="1175"/>
      <c r="BO91" s="1175"/>
      <c r="BP91" s="1175"/>
      <c r="BQ91" s="1175"/>
      <c r="BR91" s="1175"/>
      <c r="BS91" s="1175"/>
      <c r="BT91" s="1175"/>
      <c r="BU91" s="1175"/>
      <c r="BV91" s="1175"/>
      <c r="BW91" s="1175"/>
      <c r="BX91" s="1175"/>
      <c r="BY91" s="1175"/>
      <c r="BZ91" s="1175"/>
      <c r="CA91" s="1175"/>
      <c r="CB91" s="1175"/>
      <c r="CC91" s="1175"/>
      <c r="CD91" s="1175"/>
      <c r="CE91" s="1175"/>
      <c r="CF91" s="1175"/>
      <c r="CG91" s="1175"/>
      <c r="CH91" s="1175"/>
      <c r="CI91" s="1175"/>
      <c r="CJ91" s="1175"/>
      <c r="CK91" s="1175"/>
      <c r="CL91" s="1175"/>
      <c r="CM91" s="1175"/>
      <c r="CN91" s="1175"/>
      <c r="CO91" s="1175"/>
      <c r="CP91" s="1175"/>
      <c r="CQ91" s="1175"/>
      <c r="CR91" s="1175"/>
      <c r="CS91" s="1175"/>
      <c r="CT91" s="1175"/>
      <c r="CU91" s="1175"/>
      <c r="CV91" s="1175"/>
      <c r="CW91" s="1175"/>
      <c r="CX91" s="1175"/>
      <c r="CY91" s="1175"/>
      <c r="CZ91" s="1175"/>
      <c r="DA91" s="1175"/>
      <c r="DB91" s="1175"/>
      <c r="DC91" s="1175"/>
      <c r="DD91" s="1175"/>
      <c r="DE91" s="1175"/>
      <c r="DF91" s="1175"/>
      <c r="DG91" s="1175"/>
      <c r="DH91" s="1175"/>
      <c r="DI91" s="1175"/>
      <c r="DJ91" s="1175"/>
      <c r="DK91" s="1175"/>
      <c r="DL91" s="1175"/>
      <c r="DM91" s="1175"/>
      <c r="DN91" s="1175"/>
      <c r="DO91" s="1175"/>
      <c r="DP91" s="1175"/>
      <c r="DQ91" s="1175"/>
      <c r="DR91" s="1175"/>
      <c r="DS91" s="1175"/>
    </row>
    <row r="92" spans="5:123" s="1187" customFormat="1" ht="18" customHeight="1" x14ac:dyDescent="0.3">
      <c r="E92" s="1175"/>
      <c r="F92" s="1175"/>
      <c r="G92" s="1175"/>
      <c r="H92" s="1175"/>
      <c r="I92" s="1175"/>
      <c r="J92" s="1175"/>
      <c r="K92" s="1175"/>
      <c r="L92" s="1175"/>
      <c r="M92" s="1175"/>
      <c r="N92" s="1175"/>
      <c r="O92" s="1175"/>
      <c r="P92" s="1175"/>
      <c r="Q92" s="1175"/>
      <c r="R92" s="1175"/>
      <c r="S92" s="1175"/>
      <c r="T92" s="1175"/>
      <c r="U92" s="1175"/>
      <c r="V92" s="1175"/>
      <c r="W92" s="1175"/>
      <c r="X92" s="1175"/>
      <c r="Y92" s="1175"/>
      <c r="Z92" s="1175"/>
      <c r="AA92" s="1175"/>
      <c r="AB92" s="1175"/>
      <c r="AC92" s="1175"/>
      <c r="AD92" s="1175"/>
      <c r="AE92" s="1175"/>
      <c r="AF92" s="1175"/>
      <c r="AG92" s="1175"/>
      <c r="AH92" s="1175"/>
      <c r="AI92" s="1175"/>
      <c r="AJ92" s="1175"/>
      <c r="AK92" s="1175"/>
      <c r="AL92" s="1175"/>
      <c r="AM92" s="1175"/>
      <c r="AN92" s="1175"/>
      <c r="AO92" s="1175"/>
      <c r="AP92" s="1175"/>
      <c r="AQ92" s="1175"/>
      <c r="AR92" s="1175"/>
      <c r="AS92" s="1175"/>
      <c r="AT92" s="1175"/>
      <c r="AU92" s="1175"/>
      <c r="AV92" s="1175"/>
      <c r="AW92" s="1175"/>
      <c r="AX92" s="1175"/>
      <c r="AY92" s="1175"/>
      <c r="AZ92" s="1175"/>
      <c r="BA92" s="1175"/>
      <c r="BB92" s="1175"/>
      <c r="BC92" s="1175"/>
      <c r="BD92" s="1175"/>
      <c r="BE92" s="1175"/>
      <c r="BF92" s="1175"/>
      <c r="BG92" s="1175"/>
      <c r="BH92" s="1175"/>
      <c r="BI92" s="1175"/>
      <c r="BJ92" s="1175"/>
      <c r="BK92" s="1175"/>
      <c r="BL92" s="1175"/>
      <c r="BM92" s="1175"/>
      <c r="BN92" s="1175"/>
      <c r="BO92" s="1175"/>
      <c r="BP92" s="1175"/>
      <c r="BQ92" s="1175"/>
      <c r="BR92" s="1175"/>
      <c r="BS92" s="1175"/>
      <c r="BT92" s="1175"/>
      <c r="BU92" s="1175"/>
      <c r="BV92" s="1175"/>
      <c r="BW92" s="1175"/>
      <c r="BX92" s="1175"/>
      <c r="BY92" s="1175"/>
      <c r="BZ92" s="1175"/>
      <c r="CA92" s="1175"/>
      <c r="CB92" s="1175"/>
      <c r="CC92" s="1175"/>
      <c r="CD92" s="1175"/>
      <c r="CE92" s="1175"/>
      <c r="CF92" s="1175"/>
      <c r="CG92" s="1175"/>
      <c r="CH92" s="1175"/>
      <c r="CI92" s="1175"/>
      <c r="CJ92" s="1175"/>
      <c r="CK92" s="1175"/>
      <c r="CL92" s="1175"/>
      <c r="CM92" s="1175"/>
      <c r="CN92" s="1175"/>
      <c r="CO92" s="1175"/>
      <c r="CP92" s="1175"/>
      <c r="CQ92" s="1175"/>
      <c r="CR92" s="1175"/>
      <c r="CS92" s="1175"/>
      <c r="CT92" s="1175"/>
      <c r="CU92" s="1175"/>
      <c r="CV92" s="1175"/>
      <c r="CW92" s="1175"/>
      <c r="CX92" s="1175"/>
      <c r="CY92" s="1175"/>
      <c r="CZ92" s="1175"/>
      <c r="DA92" s="1175"/>
      <c r="DB92" s="1175"/>
      <c r="DC92" s="1175"/>
      <c r="DD92" s="1175"/>
      <c r="DE92" s="1175"/>
      <c r="DF92" s="1175"/>
      <c r="DG92" s="1175"/>
      <c r="DH92" s="1175"/>
      <c r="DI92" s="1175"/>
      <c r="DJ92" s="1175"/>
      <c r="DK92" s="1175"/>
      <c r="DL92" s="1175"/>
      <c r="DM92" s="1175"/>
      <c r="DN92" s="1175"/>
      <c r="DO92" s="1175"/>
      <c r="DP92" s="1175"/>
      <c r="DQ92" s="1175"/>
      <c r="DR92" s="1175"/>
      <c r="DS92" s="1175"/>
    </row>
    <row r="93" spans="5:123" s="1187" customFormat="1" ht="18" customHeight="1" x14ac:dyDescent="0.3">
      <c r="E93" s="1175"/>
      <c r="F93" s="1175"/>
      <c r="G93" s="1175"/>
      <c r="H93" s="1175"/>
      <c r="I93" s="1175"/>
      <c r="J93" s="1175"/>
      <c r="K93" s="1175"/>
      <c r="L93" s="1175"/>
      <c r="M93" s="1175"/>
      <c r="N93" s="1175"/>
      <c r="O93" s="1175"/>
      <c r="P93" s="1175"/>
      <c r="Q93" s="1175"/>
      <c r="R93" s="1175"/>
      <c r="S93" s="1175"/>
      <c r="T93" s="1175"/>
      <c r="U93" s="1175"/>
      <c r="V93" s="1175"/>
      <c r="W93" s="1175"/>
      <c r="X93" s="1175"/>
      <c r="Y93" s="1175"/>
      <c r="Z93" s="1175"/>
      <c r="AA93" s="1175"/>
      <c r="AB93" s="1175"/>
      <c r="AC93" s="1175"/>
      <c r="AD93" s="1175"/>
      <c r="AE93" s="1175"/>
      <c r="AF93" s="1175"/>
      <c r="AG93" s="1175"/>
      <c r="AH93" s="1175"/>
      <c r="AI93" s="1175"/>
      <c r="AJ93" s="1175"/>
      <c r="AK93" s="1175"/>
      <c r="AL93" s="1175"/>
      <c r="AM93" s="1175"/>
      <c r="AN93" s="1175"/>
      <c r="AO93" s="1175"/>
      <c r="AP93" s="1175"/>
      <c r="AQ93" s="1175"/>
      <c r="AR93" s="1175"/>
      <c r="AS93" s="1175"/>
      <c r="AT93" s="1175"/>
      <c r="AU93" s="1175"/>
      <c r="AV93" s="1175"/>
      <c r="AW93" s="1175"/>
      <c r="AX93" s="1175"/>
      <c r="AY93" s="1175"/>
      <c r="AZ93" s="1175"/>
      <c r="BA93" s="1175"/>
      <c r="BB93" s="1175"/>
      <c r="BC93" s="1175"/>
      <c r="BD93" s="1175"/>
      <c r="BE93" s="1175"/>
      <c r="BF93" s="1175"/>
      <c r="BG93" s="1175"/>
      <c r="BH93" s="1175"/>
      <c r="BI93" s="1175"/>
      <c r="BJ93" s="1175"/>
      <c r="BK93" s="1175"/>
      <c r="BL93" s="1175"/>
      <c r="BM93" s="1175"/>
      <c r="BN93" s="1175"/>
      <c r="BO93" s="1175"/>
      <c r="BP93" s="1175"/>
      <c r="BQ93" s="1175"/>
      <c r="BR93" s="1175"/>
      <c r="BS93" s="1175"/>
      <c r="BT93" s="1175"/>
      <c r="BU93" s="1175"/>
      <c r="BV93" s="1175"/>
      <c r="BW93" s="1175"/>
      <c r="BX93" s="1175"/>
      <c r="BY93" s="1175"/>
      <c r="BZ93" s="1175"/>
      <c r="CA93" s="1175"/>
      <c r="CB93" s="1175"/>
      <c r="CC93" s="1175"/>
      <c r="CD93" s="1175"/>
      <c r="CE93" s="1175"/>
      <c r="CF93" s="1175"/>
      <c r="CG93" s="1175"/>
      <c r="CH93" s="1175"/>
      <c r="CI93" s="1175"/>
      <c r="CJ93" s="1175"/>
      <c r="CK93" s="1175"/>
      <c r="CL93" s="1175"/>
      <c r="CM93" s="1175"/>
      <c r="CN93" s="1175"/>
      <c r="CO93" s="1175"/>
      <c r="CP93" s="1175"/>
      <c r="CQ93" s="1175"/>
      <c r="CR93" s="1175"/>
      <c r="CS93" s="1175"/>
      <c r="CT93" s="1175"/>
      <c r="CU93" s="1175"/>
      <c r="CV93" s="1175"/>
      <c r="CW93" s="1175"/>
      <c r="CX93" s="1175"/>
      <c r="CY93" s="1175"/>
      <c r="CZ93" s="1175"/>
      <c r="DA93" s="1175"/>
      <c r="DB93" s="1175"/>
      <c r="DC93" s="1175"/>
      <c r="DD93" s="1175"/>
      <c r="DE93" s="1175"/>
      <c r="DF93" s="1175"/>
      <c r="DG93" s="1175"/>
      <c r="DH93" s="1175"/>
      <c r="DI93" s="1175"/>
      <c r="DJ93" s="1175"/>
      <c r="DK93" s="1175"/>
      <c r="DL93" s="1175"/>
      <c r="DM93" s="1175"/>
      <c r="DN93" s="1175"/>
      <c r="DO93" s="1175"/>
      <c r="DP93" s="1175"/>
      <c r="DQ93" s="1175"/>
      <c r="DR93" s="1175"/>
      <c r="DS93" s="1175"/>
    </row>
    <row r="94" spans="5:123" s="1187" customFormat="1" ht="18" customHeight="1" x14ac:dyDescent="0.3">
      <c r="E94" s="1175"/>
      <c r="F94" s="1175"/>
      <c r="G94" s="1175"/>
      <c r="H94" s="1175"/>
      <c r="I94" s="1175"/>
      <c r="J94" s="1175"/>
      <c r="K94" s="1175"/>
      <c r="L94" s="1175"/>
      <c r="M94" s="1175"/>
      <c r="N94" s="1175"/>
      <c r="O94" s="1175"/>
      <c r="P94" s="1175"/>
      <c r="Q94" s="1175"/>
      <c r="R94" s="1175"/>
      <c r="S94" s="1175"/>
      <c r="T94" s="1175"/>
      <c r="U94" s="1175"/>
      <c r="V94" s="1175"/>
      <c r="W94" s="1175"/>
      <c r="X94" s="1175"/>
      <c r="Y94" s="1175"/>
      <c r="Z94" s="1175"/>
      <c r="AA94" s="1175"/>
      <c r="AB94" s="1175"/>
      <c r="AC94" s="1175"/>
      <c r="AD94" s="1175"/>
      <c r="AE94" s="1175"/>
      <c r="AF94" s="1175"/>
      <c r="AG94" s="1175"/>
      <c r="AH94" s="1175"/>
      <c r="AI94" s="1175"/>
      <c r="AJ94" s="1175"/>
      <c r="AK94" s="1175"/>
      <c r="AL94" s="1175"/>
      <c r="AM94" s="1175"/>
      <c r="AN94" s="1175"/>
      <c r="AO94" s="1175"/>
      <c r="AP94" s="1175"/>
      <c r="AQ94" s="1175"/>
      <c r="AR94" s="1175"/>
      <c r="AS94" s="1175"/>
      <c r="AT94" s="1175"/>
      <c r="AU94" s="1175"/>
      <c r="AV94" s="1175"/>
      <c r="AW94" s="1175"/>
      <c r="AX94" s="1175"/>
      <c r="AY94" s="1175"/>
      <c r="AZ94" s="1175"/>
      <c r="BA94" s="1175"/>
      <c r="BB94" s="1175"/>
      <c r="BC94" s="1175"/>
      <c r="BD94" s="1175"/>
      <c r="BE94" s="1175"/>
      <c r="BF94" s="1175"/>
      <c r="BG94" s="1175"/>
      <c r="BH94" s="1175"/>
      <c r="BI94" s="1175"/>
      <c r="BJ94" s="1175"/>
      <c r="BK94" s="1175"/>
      <c r="BL94" s="1175"/>
      <c r="BM94" s="1175"/>
      <c r="BN94" s="1175"/>
      <c r="BO94" s="1175"/>
      <c r="BP94" s="1175"/>
      <c r="BQ94" s="1175"/>
      <c r="BR94" s="1175"/>
      <c r="BS94" s="1175"/>
      <c r="BT94" s="1175"/>
      <c r="BU94" s="1175"/>
      <c r="BV94" s="1175"/>
      <c r="BW94" s="1175"/>
      <c r="BX94" s="1175"/>
      <c r="BY94" s="1175"/>
      <c r="BZ94" s="1175"/>
      <c r="CA94" s="1175"/>
      <c r="CB94" s="1175"/>
      <c r="CC94" s="1175"/>
      <c r="CD94" s="1175"/>
      <c r="CE94" s="1175"/>
      <c r="CF94" s="1175"/>
      <c r="CG94" s="1175"/>
      <c r="CH94" s="1175"/>
      <c r="CI94" s="1175"/>
      <c r="CJ94" s="1175"/>
      <c r="CK94" s="1175"/>
      <c r="CL94" s="1175"/>
      <c r="CM94" s="1175"/>
      <c r="CN94" s="1175"/>
      <c r="CO94" s="1175"/>
      <c r="CP94" s="1175"/>
      <c r="CQ94" s="1175"/>
      <c r="CR94" s="1175"/>
      <c r="CS94" s="1175"/>
      <c r="CT94" s="1175"/>
      <c r="CU94" s="1175"/>
      <c r="CV94" s="1175"/>
      <c r="CW94" s="1175"/>
      <c r="CX94" s="1175"/>
      <c r="CY94" s="1175"/>
      <c r="CZ94" s="1175"/>
      <c r="DA94" s="1175"/>
      <c r="DB94" s="1175"/>
      <c r="DC94" s="1175"/>
      <c r="DD94" s="1175"/>
      <c r="DE94" s="1175"/>
      <c r="DF94" s="1175"/>
      <c r="DG94" s="1175"/>
      <c r="DH94" s="1175"/>
      <c r="DI94" s="1175"/>
      <c r="DJ94" s="1175"/>
      <c r="DK94" s="1175"/>
      <c r="DL94" s="1175"/>
      <c r="DM94" s="1175"/>
      <c r="DN94" s="1175"/>
      <c r="DO94" s="1175"/>
      <c r="DP94" s="1175"/>
      <c r="DQ94" s="1175"/>
      <c r="DR94" s="1175"/>
      <c r="DS94" s="1175"/>
    </row>
    <row r="95" spans="5:123" s="1187" customFormat="1" ht="18" customHeight="1" x14ac:dyDescent="0.3">
      <c r="E95" s="1175"/>
      <c r="F95" s="1175"/>
      <c r="G95" s="1175"/>
      <c r="H95" s="1175"/>
      <c r="I95" s="1175"/>
      <c r="J95" s="1175"/>
      <c r="K95" s="1175"/>
      <c r="L95" s="1175"/>
      <c r="M95" s="1175"/>
      <c r="N95" s="1175"/>
      <c r="O95" s="1175"/>
      <c r="P95" s="1175"/>
      <c r="Q95" s="1175"/>
      <c r="R95" s="1175"/>
      <c r="S95" s="1175"/>
      <c r="T95" s="1175"/>
      <c r="U95" s="1175"/>
      <c r="V95" s="1175"/>
      <c r="W95" s="1175"/>
      <c r="X95" s="1175"/>
      <c r="Y95" s="1175"/>
      <c r="Z95" s="1175"/>
      <c r="AA95" s="1175"/>
      <c r="AB95" s="1175"/>
      <c r="AC95" s="1175"/>
      <c r="AD95" s="1175"/>
      <c r="AE95" s="1175"/>
      <c r="AF95" s="1175"/>
      <c r="AG95" s="1175"/>
      <c r="AH95" s="1175"/>
      <c r="AI95" s="1175"/>
      <c r="AJ95" s="1175"/>
      <c r="AK95" s="1175"/>
      <c r="AL95" s="1175"/>
      <c r="AM95" s="1175"/>
      <c r="AN95" s="1175"/>
      <c r="AO95" s="1175"/>
      <c r="AP95" s="1175"/>
      <c r="AQ95" s="1175"/>
      <c r="AR95" s="1175"/>
      <c r="AS95" s="1175"/>
      <c r="AT95" s="1175"/>
      <c r="AU95" s="1175"/>
      <c r="AV95" s="1175"/>
      <c r="AW95" s="1175"/>
      <c r="AX95" s="1175"/>
      <c r="AY95" s="1175"/>
      <c r="AZ95" s="1175"/>
      <c r="BA95" s="1175"/>
      <c r="BB95" s="1175"/>
      <c r="BC95" s="1175"/>
      <c r="BD95" s="1175"/>
      <c r="BE95" s="1175"/>
      <c r="BF95" s="1175"/>
      <c r="BG95" s="1175"/>
      <c r="BH95" s="1175"/>
      <c r="BI95" s="1175"/>
      <c r="BJ95" s="1175"/>
      <c r="BK95" s="1175"/>
      <c r="BL95" s="1175"/>
      <c r="BM95" s="1175"/>
      <c r="BN95" s="1175"/>
      <c r="BO95" s="1175"/>
      <c r="BP95" s="1175"/>
      <c r="BQ95" s="1175"/>
      <c r="BR95" s="1175"/>
      <c r="BS95" s="1175"/>
      <c r="BT95" s="1175"/>
      <c r="BU95" s="1175"/>
      <c r="BV95" s="1175"/>
      <c r="BW95" s="1175"/>
      <c r="BX95" s="1175"/>
      <c r="BY95" s="1175"/>
      <c r="BZ95" s="1175"/>
      <c r="CA95" s="1175"/>
      <c r="CB95" s="1175"/>
      <c r="CC95" s="1175"/>
      <c r="CD95" s="1175"/>
      <c r="CE95" s="1175"/>
      <c r="CF95" s="1175"/>
      <c r="CG95" s="1175"/>
      <c r="CH95" s="1175"/>
      <c r="CI95" s="1175"/>
      <c r="CJ95" s="1175"/>
      <c r="CK95" s="1175"/>
      <c r="CL95" s="1175"/>
      <c r="CM95" s="1175"/>
      <c r="CN95" s="1175"/>
      <c r="CO95" s="1175"/>
      <c r="CP95" s="1175"/>
      <c r="CQ95" s="1175"/>
      <c r="CR95" s="1175"/>
      <c r="CS95" s="1175"/>
      <c r="CT95" s="1175"/>
      <c r="CU95" s="1175"/>
      <c r="CV95" s="1175"/>
      <c r="CW95" s="1175"/>
      <c r="CX95" s="1175"/>
      <c r="CY95" s="1175"/>
      <c r="CZ95" s="1175"/>
      <c r="DA95" s="1175"/>
      <c r="DB95" s="1175"/>
      <c r="DC95" s="1175"/>
      <c r="DD95" s="1175"/>
      <c r="DE95" s="1175"/>
      <c r="DF95" s="1175"/>
      <c r="DG95" s="1175"/>
      <c r="DH95" s="1175"/>
      <c r="DI95" s="1175"/>
      <c r="DJ95" s="1175"/>
      <c r="DK95" s="1175"/>
      <c r="DL95" s="1175"/>
      <c r="DM95" s="1175"/>
      <c r="DN95" s="1175"/>
      <c r="DO95" s="1175"/>
      <c r="DP95" s="1175"/>
      <c r="DQ95" s="1175"/>
      <c r="DR95" s="1175"/>
      <c r="DS95" s="1175"/>
    </row>
    <row r="96" spans="5:123" s="1187" customFormat="1" ht="18" customHeight="1" x14ac:dyDescent="0.3">
      <c r="E96" s="1175"/>
      <c r="F96" s="1175"/>
      <c r="G96" s="1175"/>
      <c r="H96" s="1175"/>
      <c r="I96" s="1175"/>
      <c r="J96" s="1175"/>
      <c r="K96" s="1175"/>
      <c r="L96" s="1175"/>
      <c r="M96" s="1175"/>
      <c r="N96" s="1175"/>
      <c r="O96" s="1175"/>
      <c r="P96" s="1175"/>
      <c r="Q96" s="1175"/>
      <c r="R96" s="1175"/>
      <c r="S96" s="1175"/>
      <c r="T96" s="1175"/>
      <c r="U96" s="1175"/>
      <c r="V96" s="1175"/>
      <c r="W96" s="1175"/>
      <c r="X96" s="1175"/>
      <c r="Y96" s="1175"/>
      <c r="Z96" s="1175"/>
      <c r="AA96" s="1175"/>
      <c r="AB96" s="1175"/>
      <c r="AC96" s="1175"/>
      <c r="AD96" s="1175"/>
      <c r="AE96" s="1175"/>
      <c r="AF96" s="1175"/>
      <c r="AG96" s="1175"/>
      <c r="AH96" s="1175"/>
      <c r="AI96" s="1175"/>
      <c r="AJ96" s="1175"/>
      <c r="AK96" s="1175"/>
      <c r="AL96" s="1175"/>
      <c r="AM96" s="1175"/>
      <c r="AN96" s="1175"/>
      <c r="AO96" s="1175"/>
      <c r="AP96" s="1175"/>
      <c r="AQ96" s="1175"/>
      <c r="AR96" s="1175"/>
      <c r="AS96" s="1175"/>
      <c r="AT96" s="1175"/>
      <c r="AU96" s="1175"/>
      <c r="AV96" s="1175"/>
      <c r="AW96" s="1175"/>
      <c r="AX96" s="1175"/>
      <c r="AY96" s="1175"/>
      <c r="AZ96" s="1175"/>
      <c r="BA96" s="1175"/>
      <c r="BB96" s="1175"/>
      <c r="BC96" s="1175"/>
      <c r="BD96" s="1175"/>
      <c r="BE96" s="1175"/>
      <c r="BF96" s="1175"/>
      <c r="BG96" s="1175"/>
      <c r="BH96" s="1175"/>
      <c r="BI96" s="1175"/>
      <c r="BJ96" s="1175"/>
      <c r="BK96" s="1175"/>
      <c r="BL96" s="1175"/>
      <c r="BM96" s="1175"/>
      <c r="BN96" s="1175"/>
      <c r="BO96" s="1175"/>
      <c r="BP96" s="1175"/>
      <c r="BQ96" s="1175"/>
      <c r="BR96" s="1175"/>
      <c r="BS96" s="1175"/>
      <c r="BT96" s="1175"/>
      <c r="BU96" s="1175"/>
      <c r="BV96" s="1175"/>
      <c r="BW96" s="1175"/>
      <c r="BX96" s="1175"/>
      <c r="BY96" s="1175"/>
      <c r="BZ96" s="1175"/>
      <c r="CA96" s="1175"/>
      <c r="CB96" s="1175"/>
      <c r="CC96" s="1175"/>
      <c r="CD96" s="1175"/>
      <c r="CE96" s="1175"/>
      <c r="CF96" s="1175"/>
      <c r="CG96" s="1175"/>
      <c r="CH96" s="1175"/>
      <c r="CI96" s="1175"/>
      <c r="CJ96" s="1175"/>
      <c r="CK96" s="1175"/>
      <c r="CL96" s="1175"/>
      <c r="CM96" s="1175"/>
      <c r="CN96" s="1175"/>
      <c r="CO96" s="1175"/>
      <c r="CP96" s="1175"/>
      <c r="CQ96" s="1175"/>
      <c r="CR96" s="1175"/>
      <c r="CS96" s="1175"/>
      <c r="CT96" s="1175"/>
      <c r="CU96" s="1175"/>
      <c r="CV96" s="1175"/>
      <c r="CW96" s="1175"/>
      <c r="CX96" s="1175"/>
      <c r="CY96" s="1175"/>
      <c r="CZ96" s="1175"/>
      <c r="DA96" s="1175"/>
      <c r="DB96" s="1175"/>
      <c r="DC96" s="1175"/>
      <c r="DD96" s="1175"/>
      <c r="DE96" s="1175"/>
      <c r="DF96" s="1175"/>
      <c r="DG96" s="1175"/>
      <c r="DH96" s="1175"/>
      <c r="DI96" s="1175"/>
      <c r="DJ96" s="1175"/>
      <c r="DK96" s="1175"/>
      <c r="DL96" s="1175"/>
      <c r="DM96" s="1175"/>
      <c r="DN96" s="1175"/>
      <c r="DO96" s="1175"/>
      <c r="DP96" s="1175"/>
      <c r="DQ96" s="1175"/>
      <c r="DR96" s="1175"/>
      <c r="DS96" s="1175"/>
    </row>
    <row r="97" spans="5:123" s="1187" customFormat="1" ht="18" customHeight="1" x14ac:dyDescent="0.3">
      <c r="E97" s="1175"/>
      <c r="F97" s="1175"/>
      <c r="G97" s="1175"/>
      <c r="H97" s="1175"/>
      <c r="I97" s="1175"/>
      <c r="J97" s="1175"/>
      <c r="K97" s="1175"/>
      <c r="L97" s="1175"/>
      <c r="M97" s="1175"/>
      <c r="N97" s="1175"/>
      <c r="O97" s="1175"/>
      <c r="P97" s="1175"/>
      <c r="Q97" s="1175"/>
      <c r="R97" s="1175"/>
      <c r="S97" s="1175"/>
      <c r="T97" s="1175"/>
      <c r="U97" s="1175"/>
      <c r="V97" s="1175"/>
      <c r="W97" s="1175"/>
      <c r="X97" s="1175"/>
      <c r="Y97" s="1175"/>
      <c r="Z97" s="1175"/>
      <c r="AA97" s="1175"/>
      <c r="AB97" s="1175"/>
      <c r="AC97" s="1175"/>
      <c r="AD97" s="1175"/>
      <c r="AE97" s="1175"/>
      <c r="AF97" s="1175"/>
      <c r="AG97" s="1175"/>
      <c r="AH97" s="1175"/>
      <c r="AI97" s="1175"/>
      <c r="AJ97" s="1175"/>
      <c r="AK97" s="1175"/>
      <c r="AL97" s="1175"/>
      <c r="AM97" s="1175"/>
      <c r="AN97" s="1175"/>
      <c r="AO97" s="1175"/>
      <c r="AP97" s="1175"/>
      <c r="AQ97" s="1175"/>
      <c r="AR97" s="1175"/>
      <c r="AS97" s="1175"/>
      <c r="AT97" s="1175"/>
      <c r="AU97" s="1175"/>
      <c r="AV97" s="1175"/>
      <c r="AW97" s="1175"/>
      <c r="AX97" s="1175"/>
      <c r="AY97" s="1175"/>
      <c r="AZ97" s="1175"/>
      <c r="BA97" s="1175"/>
      <c r="BB97" s="1175"/>
      <c r="BC97" s="1175"/>
      <c r="BD97" s="1175"/>
      <c r="BE97" s="1175"/>
      <c r="BF97" s="1175"/>
      <c r="BG97" s="1175"/>
      <c r="BH97" s="1175"/>
      <c r="BI97" s="1175"/>
      <c r="BJ97" s="1175"/>
      <c r="BK97" s="1175"/>
      <c r="BL97" s="1175"/>
      <c r="BM97" s="1175"/>
      <c r="BN97" s="1175"/>
      <c r="BO97" s="1175"/>
      <c r="BP97" s="1175"/>
      <c r="BQ97" s="1175"/>
      <c r="BR97" s="1175"/>
      <c r="BS97" s="1175"/>
      <c r="BT97" s="1175"/>
      <c r="BU97" s="1175"/>
      <c r="BV97" s="1175"/>
      <c r="BW97" s="1175"/>
      <c r="BX97" s="1175"/>
      <c r="BY97" s="1175"/>
      <c r="BZ97" s="1175"/>
      <c r="CA97" s="1175"/>
      <c r="CB97" s="1175"/>
      <c r="CC97" s="1175"/>
      <c r="CD97" s="1175"/>
      <c r="CE97" s="1175"/>
      <c r="CF97" s="1175"/>
      <c r="CG97" s="1175"/>
      <c r="CH97" s="1175"/>
      <c r="CI97" s="1175"/>
      <c r="CJ97" s="1175"/>
      <c r="CK97" s="1175"/>
      <c r="CL97" s="1175"/>
      <c r="CM97" s="1175"/>
      <c r="CN97" s="1175"/>
      <c r="CO97" s="1175"/>
      <c r="CP97" s="1175"/>
      <c r="CQ97" s="1175"/>
      <c r="CR97" s="1175"/>
      <c r="CS97" s="1175"/>
      <c r="CT97" s="1175"/>
      <c r="CU97" s="1175"/>
      <c r="CV97" s="1175"/>
      <c r="CW97" s="1175"/>
      <c r="CX97" s="1175"/>
      <c r="CY97" s="1175"/>
      <c r="CZ97" s="1175"/>
      <c r="DA97" s="1175"/>
      <c r="DB97" s="1175"/>
      <c r="DC97" s="1175"/>
      <c r="DD97" s="1175"/>
      <c r="DE97" s="1175"/>
      <c r="DF97" s="1175"/>
      <c r="DG97" s="1175"/>
      <c r="DH97" s="1175"/>
      <c r="DI97" s="1175"/>
      <c r="DJ97" s="1175"/>
      <c r="DK97" s="1175"/>
      <c r="DL97" s="1175"/>
      <c r="DM97" s="1175"/>
      <c r="DN97" s="1175"/>
      <c r="DO97" s="1175"/>
      <c r="DP97" s="1175"/>
      <c r="DQ97" s="1175"/>
      <c r="DR97" s="1175"/>
      <c r="DS97" s="1175"/>
    </row>
    <row r="98" spans="5:123" s="1187" customFormat="1" ht="18" customHeight="1" x14ac:dyDescent="0.3">
      <c r="E98" s="1175"/>
      <c r="F98" s="1175"/>
      <c r="G98" s="1175"/>
      <c r="H98" s="1175"/>
      <c r="I98" s="1175"/>
      <c r="J98" s="1175"/>
      <c r="K98" s="1175"/>
      <c r="L98" s="1175"/>
      <c r="M98" s="1175"/>
      <c r="N98" s="1175"/>
      <c r="O98" s="1175"/>
      <c r="P98" s="1175"/>
      <c r="Q98" s="1175"/>
      <c r="R98" s="1175"/>
      <c r="S98" s="1175"/>
      <c r="T98" s="1175"/>
      <c r="U98" s="1175"/>
      <c r="V98" s="1175"/>
      <c r="W98" s="1175"/>
      <c r="X98" s="1175"/>
      <c r="Y98" s="1175"/>
      <c r="Z98" s="1175"/>
      <c r="AA98" s="1175"/>
      <c r="AB98" s="1175"/>
      <c r="AC98" s="1175"/>
      <c r="AD98" s="1175"/>
      <c r="AE98" s="1175"/>
      <c r="AF98" s="1175"/>
      <c r="AG98" s="1175"/>
      <c r="AH98" s="1175"/>
      <c r="AI98" s="1175"/>
      <c r="AJ98" s="1175"/>
      <c r="AK98" s="1175"/>
      <c r="AL98" s="1175"/>
      <c r="AM98" s="1175"/>
      <c r="AN98" s="1175"/>
      <c r="AO98" s="1175"/>
      <c r="AP98" s="1175"/>
      <c r="AQ98" s="1175"/>
      <c r="AR98" s="1175"/>
      <c r="AS98" s="1175"/>
      <c r="AT98" s="1175"/>
      <c r="AU98" s="1175"/>
      <c r="AV98" s="1175"/>
      <c r="AW98" s="1175"/>
      <c r="AX98" s="1175"/>
      <c r="AY98" s="1175"/>
      <c r="AZ98" s="1175"/>
      <c r="BA98" s="1175"/>
      <c r="BB98" s="1175"/>
      <c r="BC98" s="1175"/>
      <c r="BD98" s="1175"/>
      <c r="BE98" s="1175"/>
      <c r="BF98" s="1175"/>
      <c r="BG98" s="1175"/>
      <c r="BH98" s="1175"/>
      <c r="BI98" s="1175"/>
      <c r="BJ98" s="1175"/>
      <c r="BK98" s="1175"/>
      <c r="BL98" s="1175"/>
      <c r="BM98" s="1175"/>
      <c r="BN98" s="1175"/>
      <c r="BO98" s="1175"/>
      <c r="BP98" s="1175"/>
      <c r="BQ98" s="1175"/>
      <c r="BR98" s="1175"/>
      <c r="BS98" s="1175"/>
      <c r="BT98" s="1175"/>
      <c r="BU98" s="1175"/>
      <c r="BV98" s="1175"/>
      <c r="BW98" s="1175"/>
      <c r="BX98" s="1175"/>
      <c r="BY98" s="1175"/>
      <c r="BZ98" s="1175"/>
      <c r="CA98" s="1175"/>
      <c r="CB98" s="1175"/>
      <c r="CC98" s="1175"/>
      <c r="CD98" s="1175"/>
      <c r="CE98" s="1175"/>
      <c r="CF98" s="1175"/>
      <c r="CG98" s="1175"/>
      <c r="CH98" s="1175"/>
      <c r="CI98" s="1175"/>
      <c r="CJ98" s="1175"/>
      <c r="CK98" s="1175"/>
      <c r="CL98" s="1175"/>
      <c r="CM98" s="1175"/>
      <c r="CN98" s="1175"/>
      <c r="CO98" s="1175"/>
      <c r="CP98" s="1175"/>
      <c r="CQ98" s="1175"/>
      <c r="CR98" s="1175"/>
      <c r="CS98" s="1175"/>
      <c r="CT98" s="1175"/>
      <c r="CU98" s="1175"/>
      <c r="CV98" s="1175"/>
      <c r="CW98" s="1175"/>
      <c r="CX98" s="1175"/>
      <c r="CY98" s="1175"/>
      <c r="CZ98" s="1175"/>
      <c r="DA98" s="1175"/>
      <c r="DB98" s="1175"/>
      <c r="DC98" s="1175"/>
      <c r="DD98" s="1175"/>
      <c r="DE98" s="1175"/>
      <c r="DF98" s="1175"/>
      <c r="DG98" s="1175"/>
      <c r="DH98" s="1175"/>
      <c r="DI98" s="1175"/>
      <c r="DJ98" s="1175"/>
      <c r="DK98" s="1175"/>
      <c r="DL98" s="1175"/>
      <c r="DM98" s="1175"/>
      <c r="DN98" s="1175"/>
      <c r="DO98" s="1175"/>
      <c r="DP98" s="1175"/>
      <c r="DQ98" s="1175"/>
      <c r="DR98" s="1175"/>
      <c r="DS98" s="1175"/>
    </row>
    <row r="99" spans="5:123" s="1187" customFormat="1" ht="18" customHeight="1" x14ac:dyDescent="0.3">
      <c r="E99" s="1175"/>
      <c r="F99" s="1175"/>
      <c r="G99" s="1175"/>
      <c r="H99" s="1175"/>
      <c r="I99" s="1175"/>
      <c r="J99" s="1175"/>
      <c r="K99" s="1175"/>
      <c r="L99" s="1175"/>
      <c r="M99" s="1175"/>
      <c r="N99" s="1175"/>
      <c r="O99" s="1175"/>
      <c r="P99" s="1175"/>
      <c r="Q99" s="1175"/>
      <c r="R99" s="1175"/>
      <c r="S99" s="1175"/>
      <c r="T99" s="1175"/>
      <c r="U99" s="1175"/>
      <c r="V99" s="1175"/>
      <c r="W99" s="1175"/>
      <c r="X99" s="1175"/>
      <c r="Y99" s="1175"/>
      <c r="Z99" s="1175"/>
      <c r="AA99" s="1175"/>
      <c r="AB99" s="1175"/>
      <c r="AC99" s="1175"/>
      <c r="AD99" s="1175"/>
      <c r="AE99" s="1175"/>
      <c r="AF99" s="1175"/>
      <c r="AG99" s="1175"/>
      <c r="AH99" s="1175"/>
      <c r="AI99" s="1175"/>
      <c r="AJ99" s="1175"/>
      <c r="AK99" s="1175"/>
      <c r="AL99" s="1175"/>
      <c r="AM99" s="1175"/>
      <c r="AN99" s="1175"/>
      <c r="AO99" s="1175"/>
      <c r="AP99" s="1175"/>
      <c r="AQ99" s="1175"/>
      <c r="AR99" s="1175"/>
      <c r="AS99" s="1175"/>
      <c r="AT99" s="1175"/>
      <c r="AU99" s="1175"/>
      <c r="AV99" s="1175"/>
      <c r="AW99" s="1175"/>
      <c r="AX99" s="1175"/>
      <c r="AY99" s="1175"/>
      <c r="AZ99" s="1175"/>
      <c r="BA99" s="1175"/>
      <c r="BB99" s="1175"/>
      <c r="BC99" s="1175"/>
      <c r="BD99" s="1175"/>
      <c r="BE99" s="1175"/>
      <c r="BF99" s="1175"/>
      <c r="BG99" s="1175"/>
      <c r="BH99" s="1175"/>
      <c r="BI99" s="1175"/>
      <c r="BJ99" s="1175"/>
      <c r="BK99" s="1175"/>
      <c r="BL99" s="1175"/>
      <c r="BM99" s="1175"/>
      <c r="BN99" s="1175"/>
      <c r="BO99" s="1175"/>
      <c r="BP99" s="1175"/>
      <c r="BQ99" s="1175"/>
      <c r="BR99" s="1175"/>
      <c r="BS99" s="1175"/>
      <c r="BT99" s="1175"/>
      <c r="BU99" s="1175"/>
      <c r="BV99" s="1175"/>
      <c r="BW99" s="1175"/>
      <c r="BX99" s="1175"/>
      <c r="BY99" s="1175"/>
      <c r="BZ99" s="1175"/>
      <c r="CA99" s="1175"/>
      <c r="CB99" s="1175"/>
      <c r="CC99" s="1175"/>
      <c r="CD99" s="1175"/>
      <c r="CE99" s="1175"/>
      <c r="CF99" s="1175"/>
      <c r="CG99" s="1175"/>
      <c r="CH99" s="1175"/>
      <c r="CI99" s="1175"/>
      <c r="CJ99" s="1175"/>
      <c r="CK99" s="1175"/>
      <c r="CL99" s="1175"/>
      <c r="CM99" s="1175"/>
      <c r="CN99" s="1175"/>
      <c r="CO99" s="1175"/>
      <c r="CP99" s="1175"/>
      <c r="CQ99" s="1175"/>
      <c r="CR99" s="1175"/>
      <c r="CS99" s="1175"/>
      <c r="CT99" s="1175"/>
      <c r="CU99" s="1175"/>
      <c r="CV99" s="1175"/>
      <c r="CW99" s="1175"/>
      <c r="CX99" s="1175"/>
      <c r="CY99" s="1175"/>
      <c r="CZ99" s="1175"/>
      <c r="DA99" s="1175"/>
      <c r="DB99" s="1175"/>
      <c r="DC99" s="1175"/>
      <c r="DD99" s="1175"/>
      <c r="DE99" s="1175"/>
      <c r="DF99" s="1175"/>
      <c r="DG99" s="1175"/>
      <c r="DH99" s="1175"/>
      <c r="DI99" s="1175"/>
      <c r="DJ99" s="1175"/>
      <c r="DK99" s="1175"/>
      <c r="DL99" s="1175"/>
      <c r="DM99" s="1175"/>
      <c r="DN99" s="1175"/>
      <c r="DO99" s="1175"/>
      <c r="DP99" s="1175"/>
      <c r="DQ99" s="1175"/>
      <c r="DR99" s="1175"/>
      <c r="DS99" s="1175"/>
    </row>
    <row r="100" spans="5:123" s="1187" customFormat="1" ht="18" customHeight="1" x14ac:dyDescent="0.3">
      <c r="E100" s="1175"/>
      <c r="F100" s="1175"/>
      <c r="G100" s="1175"/>
      <c r="H100" s="1175"/>
      <c r="I100" s="1175"/>
      <c r="J100" s="1175"/>
      <c r="K100" s="1175"/>
      <c r="L100" s="1175"/>
      <c r="M100" s="1175"/>
      <c r="N100" s="1175"/>
      <c r="O100" s="1175"/>
      <c r="P100" s="1175"/>
      <c r="Q100" s="1175"/>
      <c r="R100" s="1175"/>
      <c r="S100" s="1175"/>
      <c r="T100" s="1175"/>
      <c r="U100" s="1175"/>
      <c r="V100" s="1175"/>
      <c r="W100" s="1175"/>
      <c r="X100" s="1175"/>
      <c r="Y100" s="1175"/>
      <c r="Z100" s="1175"/>
      <c r="AA100" s="1175"/>
      <c r="AB100" s="1175"/>
      <c r="AC100" s="1175"/>
      <c r="AD100" s="1175"/>
      <c r="AE100" s="1175"/>
      <c r="AF100" s="1175"/>
      <c r="AG100" s="1175"/>
      <c r="AH100" s="1175"/>
      <c r="AI100" s="1175"/>
      <c r="AJ100" s="1175"/>
      <c r="AK100" s="1175"/>
      <c r="AL100" s="1175"/>
      <c r="AM100" s="1175"/>
      <c r="AN100" s="1175"/>
      <c r="AO100" s="1175"/>
      <c r="AP100" s="1175"/>
      <c r="AQ100" s="1175"/>
      <c r="AR100" s="1175"/>
      <c r="AS100" s="1175"/>
      <c r="AT100" s="1175"/>
      <c r="AU100" s="1175"/>
      <c r="AV100" s="1175"/>
      <c r="AW100" s="1175"/>
      <c r="AX100" s="1175"/>
      <c r="AY100" s="1175"/>
      <c r="AZ100" s="1175"/>
      <c r="BA100" s="1175"/>
      <c r="BB100" s="1175"/>
      <c r="BC100" s="1175"/>
      <c r="BD100" s="1175"/>
      <c r="BE100" s="1175"/>
      <c r="BF100" s="1175"/>
      <c r="BG100" s="1175"/>
      <c r="BH100" s="1175"/>
      <c r="BI100" s="1175"/>
      <c r="BJ100" s="1175"/>
      <c r="BK100" s="1175"/>
      <c r="BL100" s="1175"/>
      <c r="BM100" s="1175"/>
      <c r="BN100" s="1175"/>
      <c r="BO100" s="1175"/>
      <c r="BP100" s="1175"/>
      <c r="BQ100" s="1175"/>
      <c r="BR100" s="1175"/>
      <c r="BS100" s="1175"/>
      <c r="BT100" s="1175"/>
      <c r="BU100" s="1175"/>
      <c r="BV100" s="1175"/>
      <c r="BW100" s="1175"/>
      <c r="BX100" s="1175"/>
      <c r="BY100" s="1175"/>
      <c r="BZ100" s="1175"/>
      <c r="CA100" s="1175"/>
      <c r="CB100" s="1175"/>
      <c r="CC100" s="1175"/>
      <c r="CD100" s="1175"/>
      <c r="CE100" s="1175"/>
      <c r="CF100" s="1175"/>
      <c r="CG100" s="1175"/>
      <c r="CH100" s="1175"/>
      <c r="CI100" s="1175"/>
      <c r="CJ100" s="1175"/>
      <c r="CK100" s="1175"/>
      <c r="CL100" s="1175"/>
      <c r="CM100" s="1175"/>
      <c r="CN100" s="1175"/>
      <c r="CO100" s="1175"/>
      <c r="CP100" s="1175"/>
      <c r="CQ100" s="1175"/>
      <c r="CR100" s="1175"/>
      <c r="CS100" s="1175"/>
      <c r="CT100" s="1175"/>
      <c r="CU100" s="1175"/>
      <c r="CV100" s="1175"/>
      <c r="CW100" s="1175"/>
      <c r="CX100" s="1175"/>
      <c r="CY100" s="1175"/>
      <c r="CZ100" s="1175"/>
      <c r="DA100" s="1175"/>
      <c r="DB100" s="1175"/>
      <c r="DC100" s="1175"/>
      <c r="DD100" s="1175"/>
      <c r="DE100" s="1175"/>
      <c r="DF100" s="1175"/>
      <c r="DG100" s="1175"/>
      <c r="DH100" s="1175"/>
      <c r="DI100" s="1175"/>
      <c r="DJ100" s="1175"/>
      <c r="DK100" s="1175"/>
      <c r="DL100" s="1175"/>
      <c r="DM100" s="1175"/>
      <c r="DN100" s="1175"/>
      <c r="DO100" s="1175"/>
      <c r="DP100" s="1175"/>
      <c r="DQ100" s="1175"/>
      <c r="DR100" s="1175"/>
      <c r="DS100" s="1175"/>
    </row>
    <row r="101" spans="5:123" s="1187" customFormat="1" ht="18" customHeight="1" x14ac:dyDescent="0.3">
      <c r="E101" s="1175"/>
      <c r="F101" s="1175"/>
      <c r="G101" s="1175"/>
      <c r="H101" s="1175"/>
      <c r="I101" s="1175"/>
      <c r="J101" s="1175"/>
      <c r="K101" s="1175"/>
      <c r="L101" s="1175"/>
      <c r="M101" s="1175"/>
      <c r="N101" s="1175"/>
      <c r="O101" s="1175"/>
      <c r="P101" s="1175"/>
      <c r="Q101" s="1175"/>
      <c r="R101" s="1175"/>
      <c r="S101" s="1175"/>
      <c r="T101" s="1175"/>
      <c r="U101" s="1175"/>
      <c r="V101" s="1175"/>
      <c r="W101" s="1175"/>
      <c r="X101" s="1175"/>
      <c r="Y101" s="1175"/>
      <c r="Z101" s="1175"/>
      <c r="AA101" s="1175"/>
      <c r="AB101" s="1175"/>
      <c r="AC101" s="1175"/>
      <c r="AD101" s="1175"/>
      <c r="AE101" s="1175"/>
      <c r="AF101" s="1175"/>
      <c r="AG101" s="1175"/>
      <c r="AH101" s="1175"/>
      <c r="AI101" s="1175"/>
      <c r="AJ101" s="1175"/>
      <c r="AK101" s="1175"/>
      <c r="AL101" s="1175"/>
      <c r="AM101" s="1175"/>
      <c r="AN101" s="1175"/>
      <c r="AO101" s="1175"/>
      <c r="AP101" s="1175"/>
      <c r="AQ101" s="1175"/>
      <c r="AR101" s="1175"/>
      <c r="AS101" s="1175"/>
      <c r="AT101" s="1175"/>
      <c r="AU101" s="1175"/>
      <c r="AV101" s="1175"/>
      <c r="AW101" s="1175"/>
      <c r="AX101" s="1175"/>
      <c r="AY101" s="1175"/>
      <c r="AZ101" s="1175"/>
      <c r="BA101" s="1175"/>
      <c r="BB101" s="1175"/>
      <c r="BC101" s="1175"/>
      <c r="BD101" s="1175"/>
      <c r="BE101" s="1175"/>
      <c r="BF101" s="1175"/>
      <c r="BG101" s="1175"/>
      <c r="BH101" s="1175"/>
      <c r="BI101" s="1175"/>
      <c r="BJ101" s="1175"/>
      <c r="BK101" s="1175"/>
      <c r="BL101" s="1175"/>
      <c r="BM101" s="1175"/>
      <c r="BN101" s="1175"/>
      <c r="BO101" s="1175"/>
      <c r="BP101" s="1175"/>
      <c r="BQ101" s="1175"/>
      <c r="BR101" s="1175"/>
      <c r="BS101" s="1175"/>
      <c r="BT101" s="1175"/>
      <c r="BU101" s="1175"/>
      <c r="BV101" s="1175"/>
      <c r="BW101" s="1175"/>
      <c r="BX101" s="1175"/>
      <c r="BY101" s="1175"/>
      <c r="BZ101" s="1175"/>
      <c r="CA101" s="1175"/>
      <c r="CB101" s="1175"/>
      <c r="CC101" s="1175"/>
      <c r="CD101" s="1175"/>
      <c r="CE101" s="1175"/>
      <c r="CF101" s="1175"/>
      <c r="CG101" s="1175"/>
      <c r="CH101" s="1175"/>
      <c r="CI101" s="1175"/>
      <c r="CJ101" s="1175"/>
      <c r="CK101" s="1175"/>
      <c r="CL101" s="1175"/>
      <c r="CM101" s="1175"/>
      <c r="CN101" s="1175"/>
      <c r="CO101" s="1175"/>
      <c r="CP101" s="1175"/>
      <c r="CQ101" s="1175"/>
      <c r="CR101" s="1175"/>
      <c r="CS101" s="1175"/>
      <c r="CT101" s="1175"/>
      <c r="CU101" s="1175"/>
      <c r="CV101" s="1175"/>
      <c r="CW101" s="1175"/>
      <c r="CX101" s="1175"/>
      <c r="CY101" s="1175"/>
      <c r="CZ101" s="1175"/>
      <c r="DA101" s="1175"/>
      <c r="DB101" s="1175"/>
      <c r="DC101" s="1175"/>
      <c r="DD101" s="1175"/>
      <c r="DE101" s="1175"/>
      <c r="DF101" s="1175"/>
      <c r="DG101" s="1175"/>
      <c r="DH101" s="1175"/>
      <c r="DI101" s="1175"/>
      <c r="DJ101" s="1175"/>
      <c r="DK101" s="1175"/>
      <c r="DL101" s="1175"/>
      <c r="DM101" s="1175"/>
      <c r="DN101" s="1175"/>
      <c r="DO101" s="1175"/>
      <c r="DP101" s="1175"/>
      <c r="DQ101" s="1175"/>
      <c r="DR101" s="1175"/>
      <c r="DS101" s="1175"/>
    </row>
    <row r="102" spans="5:123" s="1187" customFormat="1" ht="18" customHeight="1" x14ac:dyDescent="0.3">
      <c r="E102" s="1175"/>
      <c r="F102" s="1175"/>
      <c r="G102" s="1175"/>
      <c r="H102" s="1175"/>
      <c r="I102" s="1175"/>
      <c r="J102" s="1175"/>
      <c r="K102" s="1175"/>
      <c r="L102" s="1175"/>
      <c r="M102" s="1175"/>
      <c r="N102" s="1175"/>
      <c r="O102" s="1175"/>
      <c r="P102" s="1175"/>
      <c r="Q102" s="1175"/>
      <c r="R102" s="1175"/>
      <c r="S102" s="1175"/>
      <c r="T102" s="1175"/>
      <c r="U102" s="1175"/>
      <c r="V102" s="1175"/>
      <c r="W102" s="1175"/>
      <c r="X102" s="1175"/>
      <c r="Y102" s="1175"/>
      <c r="Z102" s="1175"/>
      <c r="AA102" s="1175"/>
      <c r="AB102" s="1175"/>
      <c r="AC102" s="1175"/>
      <c r="AD102" s="1175"/>
      <c r="AE102" s="1175"/>
      <c r="AF102" s="1175"/>
      <c r="AG102" s="1175"/>
      <c r="AH102" s="1175"/>
      <c r="AI102" s="1175"/>
      <c r="AJ102" s="1175"/>
      <c r="AK102" s="1175"/>
      <c r="AL102" s="1175"/>
      <c r="AM102" s="1175"/>
      <c r="AN102" s="1175"/>
      <c r="AO102" s="1175"/>
      <c r="AP102" s="1175"/>
      <c r="AQ102" s="1175"/>
      <c r="AR102" s="1175"/>
      <c r="AS102" s="1175"/>
      <c r="AT102" s="1175"/>
      <c r="AU102" s="1175"/>
      <c r="AV102" s="1175"/>
      <c r="AW102" s="1175"/>
      <c r="AX102" s="1175"/>
      <c r="AY102" s="1175"/>
      <c r="AZ102" s="1175"/>
      <c r="BA102" s="1175"/>
      <c r="BB102" s="1175"/>
      <c r="BC102" s="1175"/>
      <c r="BD102" s="1175"/>
      <c r="BE102" s="1175"/>
      <c r="BF102" s="1175"/>
      <c r="BG102" s="1175"/>
      <c r="BH102" s="1175"/>
      <c r="BI102" s="1175"/>
      <c r="BJ102" s="1175"/>
      <c r="BK102" s="1175"/>
      <c r="BL102" s="1175"/>
      <c r="BM102" s="1175"/>
      <c r="BN102" s="1175"/>
      <c r="BO102" s="1175"/>
      <c r="BP102" s="1175"/>
      <c r="BQ102" s="1175"/>
      <c r="BR102" s="1175"/>
      <c r="BS102" s="1175"/>
      <c r="BT102" s="1175"/>
      <c r="BU102" s="1175"/>
      <c r="BV102" s="1175"/>
      <c r="BW102" s="1175"/>
      <c r="BX102" s="1175"/>
      <c r="BY102" s="1175"/>
      <c r="BZ102" s="1175"/>
      <c r="CA102" s="1175"/>
      <c r="CB102" s="1175"/>
      <c r="CC102" s="1175"/>
      <c r="CD102" s="1175"/>
      <c r="CE102" s="1175"/>
      <c r="CF102" s="1175"/>
      <c r="CG102" s="1175"/>
      <c r="CH102" s="1175"/>
      <c r="CI102" s="1175"/>
      <c r="CJ102" s="1175"/>
      <c r="CK102" s="1175"/>
      <c r="CL102" s="1175"/>
      <c r="CM102" s="1175"/>
      <c r="CN102" s="1175"/>
      <c r="CO102" s="1175"/>
      <c r="CP102" s="1175"/>
      <c r="CQ102" s="1175"/>
      <c r="CR102" s="1175"/>
      <c r="CS102" s="1175"/>
      <c r="CT102" s="1175"/>
      <c r="CU102" s="1175"/>
      <c r="CV102" s="1175"/>
      <c r="CW102" s="1175"/>
      <c r="CX102" s="1175"/>
      <c r="CY102" s="1175"/>
      <c r="CZ102" s="1175"/>
      <c r="DA102" s="1175"/>
      <c r="DB102" s="1175"/>
      <c r="DC102" s="1175"/>
      <c r="DD102" s="1175"/>
      <c r="DE102" s="1175"/>
      <c r="DF102" s="1175"/>
      <c r="DG102" s="1175"/>
      <c r="DH102" s="1175"/>
      <c r="DI102" s="1175"/>
      <c r="DJ102" s="1175"/>
      <c r="DK102" s="1175"/>
      <c r="DL102" s="1175"/>
      <c r="DM102" s="1175"/>
      <c r="DN102" s="1175"/>
      <c r="DO102" s="1175"/>
      <c r="DP102" s="1175"/>
      <c r="DQ102" s="1175"/>
      <c r="DR102" s="1175"/>
      <c r="DS102" s="1175"/>
    </row>
    <row r="103" spans="5:123" s="1187" customFormat="1" ht="18" customHeight="1" x14ac:dyDescent="0.3">
      <c r="E103" s="1175"/>
      <c r="F103" s="1175"/>
      <c r="G103" s="1175"/>
      <c r="H103" s="1175"/>
      <c r="I103" s="1175"/>
      <c r="J103" s="1175"/>
      <c r="K103" s="1175"/>
      <c r="L103" s="1175"/>
      <c r="M103" s="1175"/>
      <c r="N103" s="1175"/>
      <c r="O103" s="1175"/>
      <c r="P103" s="1175"/>
      <c r="Q103" s="1175"/>
      <c r="R103" s="1175"/>
      <c r="S103" s="1175"/>
      <c r="T103" s="1175"/>
      <c r="U103" s="1175"/>
      <c r="V103" s="1175"/>
      <c r="W103" s="1175"/>
      <c r="X103" s="1175"/>
      <c r="Y103" s="1175"/>
      <c r="Z103" s="1175"/>
      <c r="AA103" s="1175"/>
      <c r="AB103" s="1175"/>
      <c r="AC103" s="1175"/>
      <c r="AD103" s="1175"/>
      <c r="AE103" s="1175"/>
      <c r="AF103" s="1175"/>
      <c r="AG103" s="1175"/>
      <c r="AH103" s="1175"/>
      <c r="AI103" s="1175"/>
      <c r="AJ103" s="1175"/>
      <c r="AK103" s="1175"/>
      <c r="AL103" s="1175"/>
      <c r="AM103" s="1175"/>
      <c r="AN103" s="1175"/>
      <c r="AO103" s="1175"/>
      <c r="AP103" s="1175"/>
      <c r="AQ103" s="1175"/>
      <c r="AR103" s="1175"/>
      <c r="AS103" s="1175"/>
      <c r="AT103" s="1175"/>
      <c r="AU103" s="1175"/>
      <c r="AV103" s="1175"/>
      <c r="AW103" s="1175"/>
      <c r="AX103" s="1175"/>
      <c r="AY103" s="1175"/>
      <c r="AZ103" s="1175"/>
      <c r="BA103" s="1175"/>
      <c r="BB103" s="1175"/>
      <c r="BC103" s="1175"/>
      <c r="BD103" s="1175"/>
      <c r="BE103" s="1175"/>
      <c r="BF103" s="1175"/>
      <c r="BG103" s="1175"/>
      <c r="BH103" s="1175"/>
      <c r="BI103" s="1175"/>
      <c r="BJ103" s="1175"/>
      <c r="BK103" s="1175"/>
      <c r="BL103" s="1175"/>
      <c r="BM103" s="1175"/>
      <c r="BN103" s="1175"/>
      <c r="BO103" s="1175"/>
      <c r="BP103" s="1175"/>
      <c r="BQ103" s="1175"/>
      <c r="BR103" s="1175"/>
      <c r="BS103" s="1175"/>
      <c r="BT103" s="1175"/>
      <c r="BU103" s="1175"/>
      <c r="BV103" s="1175"/>
      <c r="BW103" s="1175"/>
      <c r="BX103" s="1175"/>
      <c r="BY103" s="1175"/>
      <c r="BZ103" s="1175"/>
      <c r="CA103" s="1175"/>
      <c r="CB103" s="1175"/>
      <c r="CC103" s="1175"/>
      <c r="CD103" s="1175"/>
      <c r="CE103" s="1175"/>
      <c r="CF103" s="1175"/>
      <c r="CG103" s="1175"/>
      <c r="CH103" s="1175"/>
      <c r="CI103" s="1175"/>
      <c r="CJ103" s="1175"/>
      <c r="CK103" s="1175"/>
      <c r="CL103" s="1175"/>
      <c r="CM103" s="1175"/>
      <c r="CN103" s="1175"/>
      <c r="CO103" s="1175"/>
      <c r="CP103" s="1175"/>
      <c r="CQ103" s="1175"/>
      <c r="CR103" s="1175"/>
      <c r="CS103" s="1175"/>
      <c r="CT103" s="1175"/>
      <c r="CU103" s="1175"/>
      <c r="CV103" s="1175"/>
      <c r="CW103" s="1175"/>
      <c r="CX103" s="1175"/>
      <c r="CY103" s="1175"/>
      <c r="CZ103" s="1175"/>
      <c r="DA103" s="1175"/>
      <c r="DB103" s="1175"/>
      <c r="DC103" s="1175"/>
      <c r="DD103" s="1175"/>
      <c r="DE103" s="1175"/>
      <c r="DF103" s="1175"/>
      <c r="DG103" s="1175"/>
      <c r="DH103" s="1175"/>
      <c r="DI103" s="1175"/>
      <c r="DJ103" s="1175"/>
      <c r="DK103" s="1175"/>
      <c r="DL103" s="1175"/>
      <c r="DM103" s="1175"/>
      <c r="DN103" s="1175"/>
      <c r="DO103" s="1175"/>
      <c r="DP103" s="1175"/>
      <c r="DQ103" s="1175"/>
      <c r="DR103" s="1175"/>
      <c r="DS103" s="1175"/>
    </row>
    <row r="104" spans="5:123" s="1187" customFormat="1" ht="18" customHeight="1" x14ac:dyDescent="0.3">
      <c r="E104" s="1175"/>
      <c r="F104" s="1175"/>
      <c r="G104" s="1175"/>
      <c r="H104" s="1175"/>
      <c r="I104" s="1175"/>
      <c r="J104" s="1175"/>
      <c r="K104" s="1175"/>
      <c r="L104" s="1175"/>
      <c r="M104" s="1175"/>
      <c r="N104" s="1175"/>
      <c r="O104" s="1175"/>
      <c r="P104" s="1175"/>
      <c r="Q104" s="1175"/>
      <c r="R104" s="1175"/>
      <c r="S104" s="1175"/>
      <c r="T104" s="1175"/>
      <c r="U104" s="1175"/>
      <c r="V104" s="1175"/>
      <c r="W104" s="1175"/>
      <c r="X104" s="1175"/>
      <c r="Y104" s="1175"/>
      <c r="Z104" s="1175"/>
      <c r="AA104" s="1175"/>
      <c r="AB104" s="1175"/>
      <c r="AC104" s="1175"/>
      <c r="AD104" s="1175"/>
      <c r="AE104" s="1175"/>
      <c r="AF104" s="1175"/>
      <c r="AG104" s="1175"/>
      <c r="AH104" s="1175"/>
      <c r="AI104" s="1175"/>
      <c r="AJ104" s="1175"/>
      <c r="AK104" s="1175"/>
      <c r="AL104" s="1175"/>
      <c r="AM104" s="1175"/>
      <c r="AN104" s="1175"/>
      <c r="AO104" s="1175"/>
      <c r="AP104" s="1175"/>
      <c r="AQ104" s="1175"/>
      <c r="AR104" s="1175"/>
      <c r="AS104" s="1175"/>
      <c r="AT104" s="1175"/>
      <c r="AU104" s="1175"/>
      <c r="AV104" s="1175"/>
      <c r="AW104" s="1175"/>
      <c r="AX104" s="1175"/>
      <c r="AY104" s="1175"/>
      <c r="AZ104" s="1175"/>
      <c r="BA104" s="1175"/>
      <c r="BB104" s="1175"/>
      <c r="BC104" s="1175"/>
      <c r="BD104" s="1175"/>
      <c r="BE104" s="1175"/>
      <c r="BF104" s="1175"/>
      <c r="BG104" s="1175"/>
      <c r="BH104" s="1175"/>
      <c r="BI104" s="1175"/>
      <c r="BJ104" s="1175"/>
      <c r="BK104" s="1175"/>
      <c r="BL104" s="1175"/>
      <c r="BM104" s="1175"/>
      <c r="BN104" s="1175"/>
      <c r="BO104" s="1175"/>
      <c r="BP104" s="1175"/>
      <c r="BQ104" s="1175"/>
      <c r="BR104" s="1175"/>
      <c r="BS104" s="1175"/>
      <c r="BT104" s="1175"/>
      <c r="BU104" s="1175"/>
      <c r="BV104" s="1175"/>
      <c r="BW104" s="1175"/>
      <c r="BX104" s="1175"/>
      <c r="BY104" s="1175"/>
      <c r="BZ104" s="1175"/>
      <c r="CA104" s="1175"/>
      <c r="CB104" s="1175"/>
      <c r="CC104" s="1175"/>
      <c r="CD104" s="1175"/>
      <c r="CE104" s="1175"/>
      <c r="CF104" s="1175"/>
      <c r="CG104" s="1175"/>
      <c r="CH104" s="1175"/>
      <c r="CI104" s="1175"/>
      <c r="CJ104" s="1175"/>
      <c r="CK104" s="1175"/>
      <c r="CL104" s="1175"/>
      <c r="CM104" s="1175"/>
      <c r="CN104" s="1175"/>
      <c r="CO104" s="1175"/>
      <c r="CP104" s="1175"/>
      <c r="CQ104" s="1175"/>
      <c r="CR104" s="1175"/>
      <c r="CS104" s="1175"/>
      <c r="CT104" s="1175"/>
      <c r="CU104" s="1175"/>
      <c r="CV104" s="1175"/>
      <c r="CW104" s="1175"/>
      <c r="CX104" s="1175"/>
      <c r="CY104" s="1175"/>
      <c r="CZ104" s="1175"/>
      <c r="DA104" s="1175"/>
      <c r="DB104" s="1175"/>
      <c r="DC104" s="1175"/>
      <c r="DD104" s="1175"/>
      <c r="DE104" s="1175"/>
      <c r="DF104" s="1175"/>
      <c r="DG104" s="1175"/>
      <c r="DH104" s="1175"/>
      <c r="DI104" s="1175"/>
      <c r="DJ104" s="1175"/>
      <c r="DK104" s="1175"/>
      <c r="DL104" s="1175"/>
      <c r="DM104" s="1175"/>
      <c r="DN104" s="1175"/>
      <c r="DO104" s="1175"/>
      <c r="DP104" s="1175"/>
      <c r="DQ104" s="1175"/>
      <c r="DR104" s="1175"/>
      <c r="DS104" s="1175"/>
    </row>
    <row r="105" spans="5:123" s="1187" customFormat="1" ht="18" customHeight="1" x14ac:dyDescent="0.3">
      <c r="E105" s="1175"/>
      <c r="F105" s="1175"/>
      <c r="G105" s="1175"/>
      <c r="H105" s="1175"/>
      <c r="I105" s="1175"/>
      <c r="J105" s="1175"/>
      <c r="K105" s="1175"/>
      <c r="L105" s="1175"/>
      <c r="M105" s="1175"/>
      <c r="N105" s="1175"/>
      <c r="O105" s="1175"/>
      <c r="P105" s="1175"/>
      <c r="Q105" s="1175"/>
      <c r="R105" s="1175"/>
      <c r="S105" s="1175"/>
      <c r="T105" s="1175"/>
      <c r="U105" s="1175"/>
      <c r="V105" s="1175"/>
      <c r="W105" s="1175"/>
      <c r="X105" s="1175"/>
      <c r="Y105" s="1175"/>
      <c r="Z105" s="1175"/>
      <c r="AA105" s="1175"/>
      <c r="AB105" s="1175"/>
      <c r="AC105" s="1175"/>
      <c r="AD105" s="1175"/>
      <c r="AE105" s="1175"/>
      <c r="AF105" s="1175"/>
      <c r="AG105" s="1175"/>
      <c r="AH105" s="1175"/>
      <c r="AI105" s="1175"/>
      <c r="AJ105" s="1175"/>
      <c r="AK105" s="1175"/>
      <c r="AL105" s="1175"/>
      <c r="AM105" s="1175"/>
      <c r="AN105" s="1175"/>
      <c r="AO105" s="1175"/>
      <c r="AP105" s="1175"/>
      <c r="AQ105" s="1175"/>
      <c r="AR105" s="1175"/>
      <c r="AS105" s="1175"/>
      <c r="AT105" s="1175"/>
      <c r="AU105" s="1175"/>
      <c r="AV105" s="1175"/>
      <c r="AW105" s="1175"/>
      <c r="AX105" s="1175"/>
      <c r="AY105" s="1175"/>
      <c r="AZ105" s="1175"/>
      <c r="BA105" s="1175"/>
      <c r="BB105" s="1175"/>
      <c r="BC105" s="1175"/>
      <c r="BD105" s="1175"/>
      <c r="BE105" s="1175"/>
      <c r="BF105" s="1175"/>
      <c r="BG105" s="1175"/>
      <c r="BH105" s="1175"/>
      <c r="BI105" s="1175"/>
      <c r="BJ105" s="1175"/>
      <c r="BK105" s="1175"/>
      <c r="BL105" s="1175"/>
      <c r="BM105" s="1175"/>
      <c r="BN105" s="1175"/>
      <c r="BO105" s="1175"/>
      <c r="BP105" s="1175"/>
      <c r="BQ105" s="1175"/>
      <c r="BR105" s="1175"/>
      <c r="BS105" s="1175"/>
      <c r="BT105" s="1175"/>
      <c r="BU105" s="1175"/>
      <c r="BV105" s="1175"/>
      <c r="BW105" s="1175"/>
      <c r="BX105" s="1175"/>
      <c r="BY105" s="1175"/>
      <c r="BZ105" s="1175"/>
      <c r="CA105" s="1175"/>
      <c r="CB105" s="1175"/>
      <c r="CC105" s="1175"/>
      <c r="CD105" s="1175"/>
      <c r="CE105" s="1175"/>
      <c r="CF105" s="1175"/>
      <c r="CG105" s="1175"/>
      <c r="CH105" s="1175"/>
      <c r="CI105" s="1175"/>
      <c r="CJ105" s="1175"/>
      <c r="CK105" s="1175"/>
      <c r="CL105" s="1175"/>
      <c r="CM105" s="1175"/>
      <c r="CN105" s="1175"/>
      <c r="CO105" s="1175"/>
      <c r="CP105" s="1175"/>
      <c r="CQ105" s="1175"/>
      <c r="CR105" s="1175"/>
      <c r="CS105" s="1175"/>
      <c r="CT105" s="1175"/>
      <c r="CU105" s="1175"/>
      <c r="CV105" s="1175"/>
      <c r="CW105" s="1175"/>
      <c r="CX105" s="1175"/>
      <c r="CY105" s="1175"/>
      <c r="CZ105" s="1175"/>
      <c r="DA105" s="1175"/>
      <c r="DB105" s="1175"/>
      <c r="DC105" s="1175"/>
      <c r="DD105" s="1175"/>
      <c r="DE105" s="1175"/>
      <c r="DF105" s="1175"/>
      <c r="DG105" s="1175"/>
      <c r="DH105" s="1175"/>
      <c r="DI105" s="1175"/>
      <c r="DJ105" s="1175"/>
      <c r="DK105" s="1175"/>
      <c r="DL105" s="1175"/>
      <c r="DM105" s="1175"/>
      <c r="DN105" s="1175"/>
      <c r="DO105" s="1175"/>
      <c r="DP105" s="1175"/>
      <c r="DQ105" s="1175"/>
      <c r="DR105" s="1175"/>
      <c r="DS105" s="1175"/>
    </row>
    <row r="106" spans="5:123" s="1187" customFormat="1" ht="18" customHeight="1" x14ac:dyDescent="0.3">
      <c r="E106" s="1175"/>
      <c r="F106" s="1175"/>
      <c r="G106" s="1175"/>
      <c r="H106" s="1175"/>
      <c r="I106" s="1175"/>
      <c r="J106" s="1175"/>
      <c r="K106" s="1175"/>
      <c r="L106" s="1175"/>
      <c r="M106" s="1175"/>
      <c r="N106" s="1175"/>
      <c r="O106" s="1175"/>
      <c r="P106" s="1175"/>
      <c r="Q106" s="1175"/>
      <c r="R106" s="1175"/>
      <c r="S106" s="1175"/>
      <c r="T106" s="1175"/>
      <c r="U106" s="1175"/>
      <c r="V106" s="1175"/>
      <c r="W106" s="1175"/>
      <c r="X106" s="1175"/>
      <c r="Y106" s="1175"/>
      <c r="Z106" s="1175"/>
      <c r="AA106" s="1175"/>
      <c r="AB106" s="1175"/>
      <c r="AC106" s="1175"/>
      <c r="AD106" s="1175"/>
      <c r="AE106" s="1175"/>
      <c r="AF106" s="1175"/>
      <c r="AG106" s="1175"/>
      <c r="AH106" s="1175"/>
      <c r="AI106" s="1175"/>
      <c r="AJ106" s="1175"/>
      <c r="AK106" s="1175"/>
      <c r="AL106" s="1175"/>
      <c r="AM106" s="1175"/>
      <c r="AN106" s="1175"/>
      <c r="AO106" s="1175"/>
      <c r="AP106" s="1175"/>
      <c r="AQ106" s="1175"/>
      <c r="AR106" s="1175"/>
      <c r="AS106" s="1175"/>
      <c r="AT106" s="1175"/>
      <c r="AU106" s="1175"/>
      <c r="AV106" s="1175"/>
      <c r="AW106" s="1175"/>
      <c r="AX106" s="1175"/>
      <c r="AY106" s="1175"/>
      <c r="AZ106" s="1175"/>
      <c r="BA106" s="1175"/>
      <c r="BB106" s="1175"/>
      <c r="BC106" s="1175"/>
      <c r="BD106" s="1175"/>
      <c r="BE106" s="1175"/>
      <c r="BF106" s="1175"/>
      <c r="BG106" s="1175"/>
      <c r="BH106" s="1175"/>
      <c r="BI106" s="1175"/>
      <c r="BJ106" s="1175"/>
      <c r="BK106" s="1175"/>
      <c r="BL106" s="1175"/>
      <c r="BM106" s="1175"/>
      <c r="BN106" s="1175"/>
      <c r="BO106" s="1175"/>
      <c r="BP106" s="1175"/>
      <c r="BQ106" s="1175"/>
      <c r="BR106" s="1175"/>
      <c r="BS106" s="1175"/>
      <c r="BT106" s="1175"/>
      <c r="BU106" s="1175"/>
      <c r="BV106" s="1175"/>
      <c r="BW106" s="1175"/>
      <c r="BX106" s="1175"/>
      <c r="BY106" s="1175"/>
      <c r="BZ106" s="1175"/>
      <c r="CA106" s="1175"/>
      <c r="CB106" s="1175"/>
      <c r="CC106" s="1175"/>
      <c r="CD106" s="1175"/>
      <c r="CE106" s="1175"/>
      <c r="CF106" s="1175"/>
      <c r="CG106" s="1175"/>
      <c r="CH106" s="1175"/>
      <c r="CI106" s="1175"/>
      <c r="CJ106" s="1175"/>
      <c r="CK106" s="1175"/>
      <c r="CL106" s="1175"/>
      <c r="CM106" s="1175"/>
      <c r="CN106" s="1175"/>
      <c r="CO106" s="1175"/>
      <c r="CP106" s="1175"/>
      <c r="CQ106" s="1175"/>
      <c r="CR106" s="1175"/>
      <c r="CS106" s="1175"/>
      <c r="CT106" s="1175"/>
      <c r="CU106" s="1175"/>
      <c r="CV106" s="1175"/>
      <c r="CW106" s="1175"/>
      <c r="CX106" s="1175"/>
      <c r="CY106" s="1175"/>
      <c r="CZ106" s="1175"/>
      <c r="DA106" s="1175"/>
      <c r="DB106" s="1175"/>
      <c r="DC106" s="1175"/>
      <c r="DD106" s="1175"/>
      <c r="DE106" s="1175"/>
      <c r="DF106" s="1175"/>
      <c r="DG106" s="1175"/>
      <c r="DH106" s="1175"/>
      <c r="DI106" s="1175"/>
      <c r="DJ106" s="1175"/>
      <c r="DK106" s="1175"/>
      <c r="DL106" s="1175"/>
      <c r="DM106" s="1175"/>
      <c r="DN106" s="1175"/>
      <c r="DO106" s="1175"/>
      <c r="DP106" s="1175"/>
      <c r="DQ106" s="1175"/>
      <c r="DR106" s="1175"/>
      <c r="DS106" s="1175"/>
    </row>
    <row r="107" spans="5:123" s="1187" customFormat="1" ht="18" customHeight="1" x14ac:dyDescent="0.3">
      <c r="E107" s="1175"/>
      <c r="F107" s="1175"/>
      <c r="G107" s="1175"/>
      <c r="H107" s="1175"/>
      <c r="I107" s="1175"/>
      <c r="J107" s="1175"/>
      <c r="K107" s="1175"/>
      <c r="L107" s="1175"/>
      <c r="M107" s="1175"/>
      <c r="N107" s="1175"/>
      <c r="O107" s="1175"/>
      <c r="P107" s="1175"/>
      <c r="Q107" s="1175"/>
      <c r="R107" s="1175"/>
      <c r="S107" s="1175"/>
      <c r="T107" s="1175"/>
      <c r="U107" s="1175"/>
      <c r="V107" s="1175"/>
      <c r="W107" s="1175"/>
      <c r="X107" s="1175"/>
      <c r="Y107" s="1175"/>
      <c r="Z107" s="1175"/>
      <c r="AA107" s="1175"/>
      <c r="AB107" s="1175"/>
      <c r="AC107" s="1175"/>
      <c r="AD107" s="1175"/>
      <c r="AE107" s="1175"/>
      <c r="AF107" s="1175"/>
      <c r="AG107" s="1175"/>
      <c r="AH107" s="1175"/>
      <c r="AI107" s="1175"/>
      <c r="AJ107" s="1175"/>
      <c r="AK107" s="1175"/>
      <c r="AL107" s="1175"/>
      <c r="AM107" s="1175"/>
      <c r="AN107" s="1175"/>
      <c r="AO107" s="1175"/>
      <c r="AP107" s="1175"/>
      <c r="AQ107" s="1175"/>
      <c r="AR107" s="1175"/>
      <c r="AS107" s="1175"/>
      <c r="AT107" s="1175"/>
      <c r="AU107" s="1175"/>
      <c r="AV107" s="1175"/>
      <c r="AW107" s="1175"/>
      <c r="AX107" s="1175"/>
      <c r="AY107" s="1175"/>
      <c r="AZ107" s="1175"/>
      <c r="BA107" s="1175"/>
      <c r="BB107" s="1175"/>
      <c r="BC107" s="1175"/>
      <c r="BD107" s="1175"/>
      <c r="BE107" s="1175"/>
      <c r="BF107" s="1175"/>
      <c r="BG107" s="1175"/>
      <c r="BH107" s="1175"/>
      <c r="BI107" s="1175"/>
      <c r="BJ107" s="1175"/>
      <c r="BK107" s="1175"/>
      <c r="BL107" s="1175"/>
      <c r="BM107" s="1175"/>
      <c r="BN107" s="1175"/>
      <c r="BO107" s="1175"/>
      <c r="BP107" s="1175"/>
      <c r="BQ107" s="1175"/>
      <c r="BR107" s="1175"/>
      <c r="BS107" s="1175"/>
      <c r="BT107" s="1175"/>
      <c r="BU107" s="1175"/>
      <c r="BV107" s="1175"/>
      <c r="BW107" s="1175"/>
      <c r="BX107" s="1175"/>
      <c r="BY107" s="1175"/>
      <c r="BZ107" s="1175"/>
      <c r="CA107" s="1175"/>
      <c r="CB107" s="1175"/>
      <c r="CC107" s="1175"/>
      <c r="CD107" s="1175"/>
      <c r="CE107" s="1175"/>
      <c r="CF107" s="1175"/>
      <c r="CG107" s="1175"/>
      <c r="CH107" s="1175"/>
      <c r="CI107" s="1175"/>
      <c r="CJ107" s="1175"/>
      <c r="CK107" s="1175"/>
      <c r="CL107" s="1175"/>
      <c r="CM107" s="1175"/>
      <c r="CN107" s="1175"/>
      <c r="CO107" s="1175"/>
      <c r="CP107" s="1175"/>
      <c r="CQ107" s="1175"/>
      <c r="CR107" s="1175"/>
      <c r="CS107" s="1175"/>
      <c r="CT107" s="1175"/>
      <c r="CU107" s="1175"/>
      <c r="CV107" s="1175"/>
      <c r="CW107" s="1175"/>
      <c r="CX107" s="1175"/>
      <c r="CY107" s="1175"/>
      <c r="CZ107" s="1175"/>
      <c r="DA107" s="1175"/>
      <c r="DB107" s="1175"/>
      <c r="DC107" s="1175"/>
      <c r="DD107" s="1175"/>
      <c r="DE107" s="1175"/>
      <c r="DF107" s="1175"/>
      <c r="DG107" s="1175"/>
      <c r="DH107" s="1175"/>
      <c r="DI107" s="1175"/>
      <c r="DJ107" s="1175"/>
      <c r="DK107" s="1175"/>
      <c r="DL107" s="1175"/>
      <c r="DM107" s="1175"/>
      <c r="DN107" s="1175"/>
      <c r="DO107" s="1175"/>
      <c r="DP107" s="1175"/>
      <c r="DQ107" s="1175"/>
      <c r="DR107" s="1175"/>
      <c r="DS107" s="1175"/>
    </row>
    <row r="108" spans="5:123" s="1187" customFormat="1" ht="18" customHeight="1" x14ac:dyDescent="0.3">
      <c r="E108" s="1175"/>
      <c r="F108" s="1175"/>
      <c r="G108" s="1175"/>
      <c r="H108" s="1175"/>
      <c r="I108" s="1175"/>
      <c r="J108" s="1175"/>
      <c r="K108" s="1175"/>
      <c r="L108" s="1175"/>
      <c r="M108" s="1175"/>
      <c r="N108" s="1175"/>
      <c r="O108" s="1175"/>
      <c r="P108" s="1175"/>
      <c r="Q108" s="1175"/>
      <c r="R108" s="1175"/>
      <c r="S108" s="1175"/>
      <c r="T108" s="1175"/>
      <c r="U108" s="1175"/>
      <c r="V108" s="1175"/>
      <c r="W108" s="1175"/>
      <c r="X108" s="1175"/>
      <c r="Y108" s="1175"/>
      <c r="Z108" s="1175"/>
      <c r="AA108" s="1175"/>
      <c r="AB108" s="1175"/>
      <c r="AC108" s="1175"/>
      <c r="AD108" s="1175"/>
      <c r="AE108" s="1175"/>
      <c r="AF108" s="1175"/>
      <c r="AG108" s="1175"/>
      <c r="AH108" s="1175"/>
      <c r="AI108" s="1175"/>
      <c r="AJ108" s="1175"/>
      <c r="AK108" s="1175"/>
      <c r="AL108" s="1175"/>
      <c r="AM108" s="1175"/>
      <c r="AN108" s="1175"/>
      <c r="AO108" s="1175"/>
      <c r="AP108" s="1175"/>
      <c r="AQ108" s="1175"/>
      <c r="AR108" s="1175"/>
      <c r="AS108" s="1175"/>
      <c r="AT108" s="1175"/>
      <c r="AU108" s="1175"/>
      <c r="AV108" s="1175"/>
      <c r="AW108" s="1175"/>
      <c r="AX108" s="1175"/>
      <c r="AY108" s="1175"/>
      <c r="AZ108" s="1175"/>
      <c r="BA108" s="1175"/>
      <c r="BB108" s="1175"/>
      <c r="BC108" s="1175"/>
      <c r="BD108" s="1175"/>
      <c r="BE108" s="1175"/>
      <c r="BF108" s="1175"/>
      <c r="BG108" s="1175"/>
      <c r="BH108" s="1175"/>
      <c r="BI108" s="1175"/>
      <c r="BJ108" s="1175"/>
      <c r="BK108" s="1175"/>
      <c r="BL108" s="1175"/>
      <c r="BM108" s="1175"/>
      <c r="BN108" s="1175"/>
      <c r="BO108" s="1175"/>
      <c r="BP108" s="1175"/>
      <c r="BQ108" s="1175"/>
      <c r="BR108" s="1175"/>
      <c r="BS108" s="1175"/>
      <c r="BT108" s="1175"/>
      <c r="BU108" s="1175"/>
      <c r="BV108" s="1175"/>
      <c r="BW108" s="1175"/>
      <c r="BX108" s="1175"/>
      <c r="BY108" s="1175"/>
      <c r="BZ108" s="1175"/>
      <c r="CA108" s="1175"/>
      <c r="CB108" s="1175"/>
      <c r="CC108" s="1175"/>
      <c r="CD108" s="1175"/>
      <c r="CE108" s="1175"/>
      <c r="CF108" s="1175"/>
      <c r="CG108" s="1175"/>
      <c r="CH108" s="1175"/>
      <c r="CI108" s="1175"/>
      <c r="CJ108" s="1175"/>
      <c r="CK108" s="1175"/>
      <c r="CL108" s="1175"/>
      <c r="CM108" s="1175"/>
      <c r="CN108" s="1175"/>
      <c r="CO108" s="1175"/>
      <c r="CP108" s="1175"/>
      <c r="CQ108" s="1175"/>
      <c r="CR108" s="1175"/>
      <c r="CS108" s="1175"/>
      <c r="CT108" s="1175"/>
      <c r="CU108" s="1175"/>
      <c r="CV108" s="1175"/>
      <c r="CW108" s="1175"/>
      <c r="CX108" s="1175"/>
      <c r="CY108" s="1175"/>
      <c r="CZ108" s="1175"/>
      <c r="DA108" s="1175"/>
      <c r="DB108" s="1175"/>
      <c r="DC108" s="1175"/>
      <c r="DD108" s="1175"/>
      <c r="DE108" s="1175"/>
      <c r="DF108" s="1175"/>
      <c r="DG108" s="1175"/>
      <c r="DH108" s="1175"/>
      <c r="DI108" s="1175"/>
      <c r="DJ108" s="1175"/>
      <c r="DK108" s="1175"/>
      <c r="DL108" s="1175"/>
      <c r="DM108" s="1175"/>
      <c r="DN108" s="1175"/>
      <c r="DO108" s="1175"/>
      <c r="DP108" s="1175"/>
      <c r="DQ108" s="1175"/>
      <c r="DR108" s="1175"/>
      <c r="DS108" s="1175"/>
    </row>
    <row r="109" spans="5:123" s="1187" customFormat="1" ht="18" customHeight="1" x14ac:dyDescent="0.3">
      <c r="E109" s="1175"/>
      <c r="F109" s="1175"/>
      <c r="G109" s="1175"/>
      <c r="H109" s="1175"/>
      <c r="I109" s="1175"/>
      <c r="J109" s="1175"/>
      <c r="K109" s="1175"/>
      <c r="L109" s="1175"/>
      <c r="M109" s="1175"/>
      <c r="N109" s="1175"/>
      <c r="O109" s="1175"/>
      <c r="P109" s="1175"/>
      <c r="Q109" s="1175"/>
      <c r="R109" s="1175"/>
      <c r="S109" s="1175"/>
      <c r="T109" s="1175"/>
      <c r="U109" s="1175"/>
      <c r="V109" s="1175"/>
      <c r="W109" s="1175"/>
      <c r="X109" s="1175"/>
      <c r="Y109" s="1175"/>
      <c r="Z109" s="1175"/>
      <c r="AA109" s="1175"/>
      <c r="AB109" s="1175"/>
      <c r="AC109" s="1175"/>
      <c r="AD109" s="1175"/>
      <c r="AE109" s="1175"/>
      <c r="AF109" s="1175"/>
      <c r="AG109" s="1175"/>
      <c r="AH109" s="1175"/>
      <c r="AI109" s="1175"/>
      <c r="AJ109" s="1175"/>
      <c r="AK109" s="1175"/>
      <c r="AL109" s="1175"/>
      <c r="AM109" s="1175"/>
      <c r="AN109" s="1175"/>
      <c r="AO109" s="1175"/>
      <c r="AP109" s="1175"/>
      <c r="AQ109" s="1175"/>
      <c r="AR109" s="1175"/>
      <c r="AS109" s="1175"/>
      <c r="AT109" s="1175"/>
      <c r="AU109" s="1175"/>
      <c r="AV109" s="1175"/>
      <c r="AW109" s="1175"/>
      <c r="AX109" s="1175"/>
      <c r="AY109" s="1175"/>
      <c r="AZ109" s="1175"/>
      <c r="BA109" s="1175"/>
      <c r="BB109" s="1175"/>
      <c r="BC109" s="1175"/>
      <c r="BD109" s="1175"/>
      <c r="BE109" s="1175"/>
      <c r="BF109" s="1175"/>
      <c r="BG109" s="1175"/>
      <c r="BH109" s="1175"/>
      <c r="BI109" s="1175"/>
      <c r="BJ109" s="1175"/>
      <c r="BK109" s="1175"/>
      <c r="BL109" s="1175"/>
      <c r="BM109" s="1175"/>
      <c r="BN109" s="1175"/>
      <c r="BO109" s="1175"/>
      <c r="BP109" s="1175"/>
      <c r="BQ109" s="1175"/>
      <c r="BR109" s="1175"/>
      <c r="BS109" s="1175"/>
      <c r="BT109" s="1175"/>
      <c r="BU109" s="1175"/>
      <c r="BV109" s="1175"/>
      <c r="BW109" s="1175"/>
      <c r="BX109" s="1175"/>
      <c r="BY109" s="1175"/>
      <c r="BZ109" s="1175"/>
      <c r="CA109" s="1175"/>
      <c r="CB109" s="1175"/>
      <c r="CC109" s="1175"/>
      <c r="CD109" s="1175"/>
      <c r="CE109" s="1175"/>
      <c r="CF109" s="1175"/>
      <c r="CG109" s="1175"/>
      <c r="CH109" s="1175"/>
      <c r="CI109" s="1175"/>
      <c r="CJ109" s="1175"/>
      <c r="CK109" s="1175"/>
      <c r="CL109" s="1175"/>
      <c r="CM109" s="1175"/>
      <c r="CN109" s="1175"/>
      <c r="CO109" s="1175"/>
      <c r="CP109" s="1175"/>
      <c r="CQ109" s="1175"/>
      <c r="CR109" s="1175"/>
      <c r="CS109" s="1175"/>
      <c r="CT109" s="1175"/>
      <c r="CU109" s="1175"/>
      <c r="CV109" s="1175"/>
      <c r="CW109" s="1175"/>
      <c r="CX109" s="1175"/>
      <c r="CY109" s="1175"/>
      <c r="CZ109" s="1175"/>
      <c r="DA109" s="1175"/>
      <c r="DB109" s="1175"/>
      <c r="DC109" s="1175"/>
      <c r="DD109" s="1175"/>
      <c r="DE109" s="1175"/>
      <c r="DF109" s="1175"/>
      <c r="DG109" s="1175"/>
      <c r="DH109" s="1175"/>
      <c r="DI109" s="1175"/>
      <c r="DJ109" s="1175"/>
      <c r="DK109" s="1175"/>
      <c r="DL109" s="1175"/>
      <c r="DM109" s="1175"/>
      <c r="DN109" s="1175"/>
      <c r="DO109" s="1175"/>
      <c r="DP109" s="1175"/>
      <c r="DQ109" s="1175"/>
      <c r="DR109" s="1175"/>
      <c r="DS109" s="1175"/>
    </row>
    <row r="110" spans="5:123" s="1187" customFormat="1" ht="18" customHeight="1" x14ac:dyDescent="0.3">
      <c r="E110" s="1175"/>
      <c r="F110" s="1175"/>
      <c r="G110" s="1175"/>
      <c r="H110" s="1175"/>
      <c r="I110" s="1175"/>
      <c r="J110" s="1175"/>
      <c r="K110" s="1175"/>
      <c r="L110" s="1175"/>
      <c r="M110" s="1175"/>
      <c r="N110" s="1175"/>
      <c r="O110" s="1175"/>
      <c r="P110" s="1175"/>
      <c r="Q110" s="1175"/>
      <c r="R110" s="1175"/>
      <c r="S110" s="1175"/>
      <c r="T110" s="1175"/>
      <c r="U110" s="1175"/>
      <c r="V110" s="1175"/>
      <c r="W110" s="1175"/>
      <c r="X110" s="1175"/>
      <c r="Y110" s="1175"/>
      <c r="Z110" s="1175"/>
      <c r="AA110" s="1175"/>
      <c r="AB110" s="1175"/>
      <c r="AC110" s="1175"/>
      <c r="AD110" s="1175"/>
      <c r="AE110" s="1175"/>
      <c r="AF110" s="1175"/>
      <c r="AG110" s="1175"/>
      <c r="AH110" s="1175"/>
      <c r="AI110" s="1175"/>
      <c r="AJ110" s="1175"/>
      <c r="AK110" s="1175"/>
      <c r="AL110" s="1175"/>
      <c r="AM110" s="1175"/>
      <c r="AN110" s="1175"/>
      <c r="AO110" s="1175"/>
      <c r="AP110" s="1175"/>
      <c r="AQ110" s="1175"/>
      <c r="AR110" s="1175"/>
      <c r="AS110" s="1175"/>
      <c r="AT110" s="1175"/>
      <c r="AU110" s="1175"/>
      <c r="AV110" s="1175"/>
      <c r="AW110" s="1175"/>
      <c r="AX110" s="1175"/>
      <c r="AY110" s="1175"/>
      <c r="AZ110" s="1175"/>
      <c r="BA110" s="1175"/>
      <c r="BB110" s="1175"/>
      <c r="BC110" s="1175"/>
      <c r="BD110" s="1175"/>
      <c r="BE110" s="1175"/>
      <c r="BF110" s="1175"/>
      <c r="BG110" s="1175"/>
      <c r="BH110" s="1175"/>
      <c r="BI110" s="1175"/>
      <c r="BJ110" s="1175"/>
      <c r="BK110" s="1175"/>
      <c r="BL110" s="1175"/>
      <c r="BM110" s="1175"/>
      <c r="BN110" s="1175"/>
      <c r="BO110" s="1175"/>
      <c r="BP110" s="1175"/>
      <c r="BQ110" s="1175"/>
      <c r="BR110" s="1175"/>
      <c r="BS110" s="1175"/>
      <c r="BT110" s="1175"/>
      <c r="BU110" s="1175"/>
      <c r="BV110" s="1175"/>
      <c r="BW110" s="1175"/>
      <c r="BX110" s="1175"/>
      <c r="BY110" s="1175"/>
      <c r="BZ110" s="1175"/>
      <c r="CA110" s="1175"/>
      <c r="CB110" s="1175"/>
      <c r="CC110" s="1175"/>
      <c r="CD110" s="1175"/>
      <c r="CE110" s="1175"/>
      <c r="CF110" s="1175"/>
      <c r="CG110" s="1175"/>
      <c r="CH110" s="1175"/>
      <c r="CI110" s="1175"/>
      <c r="CJ110" s="1175"/>
      <c r="CK110" s="1175"/>
      <c r="CL110" s="1175"/>
      <c r="CM110" s="1175"/>
      <c r="CN110" s="1175"/>
      <c r="CO110" s="1175"/>
      <c r="CP110" s="1175"/>
      <c r="CQ110" s="1175"/>
      <c r="CR110" s="1175"/>
      <c r="CS110" s="1175"/>
      <c r="CT110" s="1175"/>
      <c r="CU110" s="1175"/>
      <c r="CV110" s="1175"/>
      <c r="CW110" s="1175"/>
      <c r="CX110" s="1175"/>
      <c r="CY110" s="1175"/>
      <c r="CZ110" s="1175"/>
      <c r="DA110" s="1175"/>
      <c r="DB110" s="1175"/>
      <c r="DC110" s="1175"/>
      <c r="DD110" s="1175"/>
      <c r="DE110" s="1175"/>
      <c r="DF110" s="1175"/>
      <c r="DG110" s="1175"/>
      <c r="DH110" s="1175"/>
      <c r="DI110" s="1175"/>
      <c r="DJ110" s="1175"/>
      <c r="DK110" s="1175"/>
      <c r="DL110" s="1175"/>
      <c r="DM110" s="1175"/>
      <c r="DN110" s="1175"/>
      <c r="DO110" s="1175"/>
      <c r="DP110" s="1175"/>
      <c r="DQ110" s="1175"/>
      <c r="DR110" s="1175"/>
      <c r="DS110" s="1175"/>
    </row>
    <row r="111" spans="5:123" s="1187" customFormat="1" ht="18" customHeight="1" x14ac:dyDescent="0.3">
      <c r="E111" s="1175"/>
      <c r="F111" s="1175"/>
      <c r="G111" s="1175"/>
      <c r="H111" s="1175"/>
      <c r="I111" s="1175"/>
      <c r="J111" s="1175"/>
      <c r="K111" s="1175"/>
      <c r="L111" s="1175"/>
      <c r="M111" s="1175"/>
      <c r="N111" s="1175"/>
      <c r="O111" s="1175"/>
      <c r="P111" s="1175"/>
      <c r="Q111" s="1175"/>
      <c r="R111" s="1175"/>
      <c r="S111" s="1175"/>
      <c r="T111" s="1175"/>
      <c r="U111" s="1175"/>
      <c r="V111" s="1175"/>
      <c r="W111" s="1175"/>
      <c r="X111" s="1175"/>
      <c r="Y111" s="1175"/>
      <c r="Z111" s="1175"/>
      <c r="AA111" s="1175"/>
      <c r="AB111" s="1175"/>
      <c r="AC111" s="1175"/>
      <c r="AD111" s="1175"/>
      <c r="AE111" s="1175"/>
      <c r="AF111" s="1175"/>
      <c r="AG111" s="1175"/>
      <c r="AH111" s="1175"/>
      <c r="AI111" s="1175"/>
      <c r="AJ111" s="1175"/>
      <c r="AK111" s="1175"/>
      <c r="AL111" s="1175"/>
      <c r="AM111" s="1175"/>
      <c r="AN111" s="1175"/>
      <c r="AO111" s="1175"/>
      <c r="AP111" s="1175"/>
      <c r="AQ111" s="1175"/>
      <c r="AR111" s="1175"/>
      <c r="AS111" s="1175"/>
      <c r="AT111" s="1175"/>
      <c r="AU111" s="1175"/>
      <c r="AV111" s="1175"/>
      <c r="AW111" s="1175"/>
      <c r="AX111" s="1175"/>
      <c r="AY111" s="1175"/>
      <c r="AZ111" s="1175"/>
      <c r="BA111" s="1175"/>
      <c r="BB111" s="1175"/>
      <c r="BC111" s="1175"/>
      <c r="BD111" s="1175"/>
      <c r="BE111" s="1175"/>
      <c r="BF111" s="1175"/>
      <c r="BG111" s="1175"/>
      <c r="BH111" s="1175"/>
      <c r="BI111" s="1175"/>
      <c r="BJ111" s="1175"/>
      <c r="BK111" s="1175"/>
      <c r="BL111" s="1175"/>
      <c r="BM111" s="1175"/>
      <c r="BN111" s="1175"/>
      <c r="BO111" s="1175"/>
      <c r="BP111" s="1175"/>
      <c r="BQ111" s="1175"/>
      <c r="BR111" s="1175"/>
      <c r="BS111" s="1175"/>
      <c r="BT111" s="1175"/>
      <c r="BU111" s="1175"/>
      <c r="BV111" s="1175"/>
      <c r="BW111" s="1175"/>
      <c r="BX111" s="1175"/>
      <c r="BY111" s="1175"/>
      <c r="BZ111" s="1175"/>
      <c r="CA111" s="1175"/>
      <c r="CB111" s="1175"/>
      <c r="CC111" s="1175"/>
      <c r="CD111" s="1175"/>
      <c r="CE111" s="1175"/>
      <c r="CF111" s="1175"/>
      <c r="CG111" s="1175"/>
      <c r="CH111" s="1175"/>
      <c r="CI111" s="1175"/>
      <c r="CJ111" s="1175"/>
      <c r="CK111" s="1175"/>
      <c r="CL111" s="1175"/>
      <c r="CM111" s="1175"/>
      <c r="CN111" s="1175"/>
      <c r="CO111" s="1175"/>
      <c r="CP111" s="1175"/>
      <c r="CQ111" s="1175"/>
      <c r="CR111" s="1175"/>
      <c r="CS111" s="1175"/>
      <c r="CT111" s="1175"/>
      <c r="CU111" s="1175"/>
      <c r="CV111" s="1175"/>
      <c r="CW111" s="1175"/>
      <c r="CX111" s="1175"/>
      <c r="CY111" s="1175"/>
      <c r="CZ111" s="1175"/>
      <c r="DA111" s="1175"/>
      <c r="DB111" s="1175"/>
      <c r="DC111" s="1175"/>
      <c r="DD111" s="1175"/>
      <c r="DE111" s="1175"/>
      <c r="DF111" s="1175"/>
      <c r="DG111" s="1175"/>
      <c r="DH111" s="1175"/>
      <c r="DI111" s="1175"/>
      <c r="DJ111" s="1175"/>
      <c r="DK111" s="1175"/>
      <c r="DL111" s="1175"/>
      <c r="DM111" s="1175"/>
      <c r="DN111" s="1175"/>
      <c r="DO111" s="1175"/>
      <c r="DP111" s="1175"/>
      <c r="DQ111" s="1175"/>
      <c r="DR111" s="1175"/>
      <c r="DS111" s="1175"/>
    </row>
    <row r="112" spans="5:123" s="1187" customFormat="1" ht="18" customHeight="1" x14ac:dyDescent="0.3">
      <c r="E112" s="1175"/>
      <c r="F112" s="1175"/>
      <c r="G112" s="1175"/>
      <c r="H112" s="1175"/>
      <c r="I112" s="1175"/>
      <c r="J112" s="1175"/>
      <c r="K112" s="1175"/>
      <c r="L112" s="1175"/>
      <c r="M112" s="1175"/>
      <c r="N112" s="1175"/>
      <c r="O112" s="1175"/>
      <c r="P112" s="1175"/>
      <c r="Q112" s="1175"/>
      <c r="R112" s="1175"/>
      <c r="S112" s="1175"/>
      <c r="T112" s="1175"/>
      <c r="U112" s="1175"/>
      <c r="V112" s="1175"/>
      <c r="W112" s="1175"/>
      <c r="X112" s="1175"/>
      <c r="Y112" s="1175"/>
      <c r="Z112" s="1175"/>
      <c r="AA112" s="1175"/>
      <c r="AB112" s="1175"/>
      <c r="AC112" s="1175"/>
      <c r="AD112" s="1175"/>
      <c r="AE112" s="1175"/>
      <c r="AF112" s="1175"/>
      <c r="AG112" s="1175"/>
      <c r="AH112" s="1175"/>
      <c r="AI112" s="1175"/>
      <c r="AJ112" s="1175"/>
      <c r="AK112" s="1175"/>
      <c r="AL112" s="1175"/>
      <c r="AM112" s="1175"/>
      <c r="AN112" s="1175"/>
      <c r="AO112" s="1175"/>
      <c r="AP112" s="1175"/>
      <c r="AQ112" s="1175"/>
      <c r="AR112" s="1175"/>
      <c r="AS112" s="1175"/>
      <c r="AT112" s="1175"/>
      <c r="AU112" s="1175"/>
      <c r="AV112" s="1175"/>
      <c r="AW112" s="1175"/>
      <c r="AX112" s="1175"/>
      <c r="AY112" s="1175"/>
      <c r="AZ112" s="1175"/>
      <c r="BA112" s="1175"/>
      <c r="BB112" s="1175"/>
      <c r="BC112" s="1175"/>
      <c r="BD112" s="1175"/>
      <c r="BE112" s="1175"/>
      <c r="BF112" s="1175"/>
      <c r="BG112" s="1175"/>
      <c r="BH112" s="1175"/>
      <c r="BI112" s="1175"/>
      <c r="BJ112" s="1175"/>
      <c r="BK112" s="1175"/>
      <c r="BL112" s="1175"/>
      <c r="BM112" s="1175"/>
      <c r="BN112" s="1175"/>
      <c r="BO112" s="1175"/>
      <c r="BP112" s="1175"/>
      <c r="BQ112" s="1175"/>
      <c r="BR112" s="1175"/>
      <c r="BS112" s="1175"/>
      <c r="BT112" s="1175"/>
      <c r="BU112" s="1175"/>
      <c r="BV112" s="1175"/>
      <c r="BW112" s="1175"/>
      <c r="BX112" s="1175"/>
      <c r="BY112" s="1175"/>
      <c r="BZ112" s="1175"/>
      <c r="CA112" s="1175"/>
      <c r="CB112" s="1175"/>
      <c r="CC112" s="1175"/>
      <c r="CD112" s="1175"/>
      <c r="CE112" s="1175"/>
      <c r="CF112" s="1175"/>
      <c r="CG112" s="1175"/>
      <c r="CH112" s="1175"/>
      <c r="CI112" s="1175"/>
      <c r="CJ112" s="1175"/>
      <c r="CK112" s="1175"/>
      <c r="CL112" s="1175"/>
      <c r="CM112" s="1175"/>
      <c r="CN112" s="1175"/>
      <c r="CO112" s="1175"/>
      <c r="CP112" s="1175"/>
      <c r="CQ112" s="1175"/>
      <c r="CR112" s="1175"/>
      <c r="CS112" s="1175"/>
      <c r="CT112" s="1175"/>
      <c r="CU112" s="1175"/>
      <c r="CV112" s="1175"/>
      <c r="CW112" s="1175"/>
      <c r="CX112" s="1175"/>
      <c r="CY112" s="1175"/>
      <c r="CZ112" s="1175"/>
      <c r="DA112" s="1175"/>
      <c r="DB112" s="1175"/>
      <c r="DC112" s="1175"/>
      <c r="DD112" s="1175"/>
      <c r="DE112" s="1175"/>
      <c r="DF112" s="1175"/>
      <c r="DG112" s="1175"/>
      <c r="DH112" s="1175"/>
      <c r="DI112" s="1175"/>
      <c r="DJ112" s="1175"/>
      <c r="DK112" s="1175"/>
      <c r="DL112" s="1175"/>
      <c r="DM112" s="1175"/>
      <c r="DN112" s="1175"/>
      <c r="DO112" s="1175"/>
      <c r="DP112" s="1175"/>
      <c r="DQ112" s="1175"/>
      <c r="DR112" s="1175"/>
      <c r="DS112" s="1175"/>
    </row>
    <row r="113" spans="5:123" s="1187" customFormat="1" ht="18" customHeight="1" x14ac:dyDescent="0.3">
      <c r="E113" s="1175"/>
      <c r="F113" s="1175"/>
      <c r="G113" s="1175"/>
      <c r="H113" s="1175"/>
      <c r="I113" s="1175"/>
      <c r="J113" s="1175"/>
      <c r="K113" s="1175"/>
      <c r="L113" s="1175"/>
      <c r="M113" s="1175"/>
      <c r="N113" s="1175"/>
      <c r="O113" s="1175"/>
      <c r="P113" s="1175"/>
      <c r="Q113" s="1175"/>
      <c r="R113" s="1175"/>
      <c r="S113" s="1175"/>
      <c r="T113" s="1175"/>
      <c r="U113" s="1175"/>
      <c r="V113" s="1175"/>
      <c r="W113" s="1175"/>
      <c r="X113" s="1175"/>
      <c r="Y113" s="1175"/>
      <c r="Z113" s="1175"/>
      <c r="AA113" s="1175"/>
      <c r="AB113" s="1175"/>
      <c r="AC113" s="1175"/>
      <c r="AD113" s="1175"/>
      <c r="AE113" s="1175"/>
      <c r="AF113" s="1175"/>
      <c r="AG113" s="1175"/>
      <c r="AH113" s="1175"/>
      <c r="AI113" s="1175"/>
      <c r="AJ113" s="1175"/>
      <c r="AK113" s="1175"/>
      <c r="AL113" s="1175"/>
      <c r="AM113" s="1175"/>
      <c r="AN113" s="1175"/>
      <c r="AO113" s="1175"/>
      <c r="AP113" s="1175"/>
      <c r="AQ113" s="1175"/>
      <c r="AR113" s="1175"/>
      <c r="AS113" s="1175"/>
      <c r="AT113" s="1175"/>
      <c r="AU113" s="1175"/>
      <c r="AV113" s="1175"/>
      <c r="AW113" s="1175"/>
      <c r="AX113" s="1175"/>
      <c r="AY113" s="1175"/>
      <c r="AZ113" s="1175"/>
      <c r="BA113" s="1175"/>
      <c r="BB113" s="1175"/>
      <c r="BC113" s="1175"/>
      <c r="BD113" s="1175"/>
      <c r="BE113" s="1175"/>
      <c r="BF113" s="1175"/>
      <c r="BG113" s="1175"/>
      <c r="BH113" s="1175"/>
      <c r="BI113" s="1175"/>
      <c r="BJ113" s="1175"/>
      <c r="BK113" s="1175"/>
      <c r="BL113" s="1175"/>
      <c r="BM113" s="1175"/>
      <c r="BN113" s="1175"/>
      <c r="BO113" s="1175"/>
      <c r="BP113" s="1175"/>
      <c r="BQ113" s="1175"/>
      <c r="BR113" s="1175"/>
      <c r="BS113" s="1175"/>
      <c r="BT113" s="1175"/>
      <c r="BU113" s="1175"/>
      <c r="BV113" s="1175"/>
      <c r="BW113" s="1175"/>
      <c r="BX113" s="1175"/>
      <c r="BY113" s="1175"/>
      <c r="BZ113" s="1175"/>
      <c r="CA113" s="1175"/>
      <c r="CB113" s="1175"/>
      <c r="CC113" s="1175"/>
      <c r="CD113" s="1175"/>
      <c r="CE113" s="1175"/>
      <c r="CF113" s="1175"/>
      <c r="CG113" s="1175"/>
      <c r="CH113" s="1175"/>
      <c r="CI113" s="1175"/>
      <c r="CJ113" s="1175"/>
      <c r="CK113" s="1175"/>
      <c r="CL113" s="1175"/>
      <c r="CM113" s="1175"/>
      <c r="CN113" s="1175"/>
      <c r="CO113" s="1175"/>
      <c r="CP113" s="1175"/>
      <c r="CQ113" s="1175"/>
      <c r="CR113" s="1175"/>
      <c r="CS113" s="1175"/>
      <c r="CT113" s="1175"/>
      <c r="CU113" s="1175"/>
      <c r="CV113" s="1175"/>
      <c r="CW113" s="1175"/>
      <c r="CX113" s="1175"/>
      <c r="CY113" s="1175"/>
      <c r="CZ113" s="1175"/>
      <c r="DA113" s="1175"/>
      <c r="DB113" s="1175"/>
      <c r="DC113" s="1175"/>
      <c r="DD113" s="1175"/>
      <c r="DE113" s="1175"/>
      <c r="DF113" s="1175"/>
      <c r="DG113" s="1175"/>
      <c r="DH113" s="1175"/>
      <c r="DI113" s="1175"/>
      <c r="DJ113" s="1175"/>
      <c r="DK113" s="1175"/>
      <c r="DL113" s="1175"/>
      <c r="DM113" s="1175"/>
      <c r="DN113" s="1175"/>
      <c r="DO113" s="1175"/>
      <c r="DP113" s="1175"/>
      <c r="DQ113" s="1175"/>
      <c r="DR113" s="1175"/>
      <c r="DS113" s="1175"/>
    </row>
    <row r="114" spans="5:123" s="1187" customFormat="1" ht="18" customHeight="1" x14ac:dyDescent="0.3">
      <c r="E114" s="1175"/>
      <c r="F114" s="1175"/>
      <c r="G114" s="1175"/>
      <c r="H114" s="1175"/>
      <c r="I114" s="1175"/>
      <c r="J114" s="1175"/>
      <c r="K114" s="1175"/>
      <c r="L114" s="1175"/>
      <c r="M114" s="1175"/>
      <c r="N114" s="1175"/>
      <c r="O114" s="1175"/>
      <c r="P114" s="1175"/>
      <c r="Q114" s="1175"/>
      <c r="R114" s="1175"/>
      <c r="S114" s="1175"/>
      <c r="T114" s="1175"/>
      <c r="U114" s="1175"/>
      <c r="V114" s="1175"/>
      <c r="W114" s="1175"/>
      <c r="X114" s="1175"/>
      <c r="Y114" s="1175"/>
      <c r="Z114" s="1175"/>
      <c r="AA114" s="1175"/>
      <c r="AB114" s="1175"/>
      <c r="AC114" s="1175"/>
      <c r="AD114" s="1175"/>
      <c r="AE114" s="1175"/>
      <c r="AF114" s="1175"/>
      <c r="AG114" s="1175"/>
      <c r="AH114" s="1175"/>
      <c r="AI114" s="1175"/>
      <c r="AJ114" s="1175"/>
      <c r="AK114" s="1175"/>
      <c r="AL114" s="1175"/>
      <c r="AM114" s="1175"/>
      <c r="AN114" s="1175"/>
      <c r="AO114" s="1175"/>
      <c r="AP114" s="1175"/>
      <c r="AQ114" s="1175"/>
      <c r="AR114" s="1175"/>
      <c r="AS114" s="1175"/>
      <c r="AT114" s="1175"/>
      <c r="AU114" s="1175"/>
      <c r="AV114" s="1175"/>
      <c r="AW114" s="1175"/>
      <c r="AX114" s="1175"/>
      <c r="AY114" s="1175"/>
      <c r="AZ114" s="1175"/>
      <c r="BA114" s="1175"/>
      <c r="BB114" s="1175"/>
      <c r="BC114" s="1175"/>
      <c r="BD114" s="1175"/>
      <c r="BE114" s="1175"/>
      <c r="BF114" s="1175"/>
      <c r="BG114" s="1175"/>
      <c r="BH114" s="1175"/>
      <c r="BI114" s="1175"/>
      <c r="BJ114" s="1175"/>
      <c r="BK114" s="1175"/>
      <c r="BL114" s="1175"/>
      <c r="BM114" s="1175"/>
      <c r="BN114" s="1175"/>
      <c r="BO114" s="1175"/>
      <c r="BP114" s="1175"/>
      <c r="BQ114" s="1175"/>
      <c r="BR114" s="1175"/>
      <c r="BS114" s="1175"/>
      <c r="BT114" s="1175"/>
      <c r="BU114" s="1175"/>
      <c r="BV114" s="1175"/>
      <c r="BW114" s="1175"/>
      <c r="BX114" s="1175"/>
      <c r="BY114" s="1175"/>
      <c r="BZ114" s="1175"/>
      <c r="CA114" s="1175"/>
      <c r="CB114" s="1175"/>
      <c r="CC114" s="1175"/>
      <c r="CD114" s="1175"/>
      <c r="CE114" s="1175"/>
      <c r="CF114" s="1175"/>
      <c r="CG114" s="1175"/>
      <c r="CH114" s="1175"/>
      <c r="CI114" s="1175"/>
      <c r="CJ114" s="1175"/>
      <c r="CK114" s="1175"/>
      <c r="CL114" s="1175"/>
      <c r="CM114" s="1175"/>
      <c r="CN114" s="1175"/>
      <c r="CO114" s="1175"/>
      <c r="CP114" s="1175"/>
      <c r="CQ114" s="1175"/>
      <c r="CR114" s="1175"/>
      <c r="CS114" s="1175"/>
      <c r="CT114" s="1175"/>
      <c r="CU114" s="1175"/>
      <c r="CV114" s="1175"/>
      <c r="CW114" s="1175"/>
      <c r="CX114" s="1175"/>
      <c r="CY114" s="1175"/>
      <c r="CZ114" s="1175"/>
      <c r="DA114" s="1175"/>
      <c r="DB114" s="1175"/>
      <c r="DC114" s="1175"/>
      <c r="DD114" s="1175"/>
      <c r="DE114" s="1175"/>
      <c r="DF114" s="1175"/>
      <c r="DG114" s="1175"/>
      <c r="DH114" s="1175"/>
      <c r="DI114" s="1175"/>
      <c r="DJ114" s="1175"/>
      <c r="DK114" s="1175"/>
      <c r="DL114" s="1175"/>
      <c r="DM114" s="1175"/>
      <c r="DN114" s="1175"/>
      <c r="DO114" s="1175"/>
      <c r="DP114" s="1175"/>
      <c r="DQ114" s="1175"/>
      <c r="DR114" s="1175"/>
      <c r="DS114" s="1175"/>
    </row>
    <row r="115" spans="5:123" s="1187" customFormat="1" ht="18" customHeight="1" x14ac:dyDescent="0.3">
      <c r="E115" s="1175"/>
      <c r="F115" s="1175"/>
      <c r="G115" s="1175"/>
      <c r="H115" s="1175"/>
      <c r="I115" s="1175"/>
      <c r="J115" s="1175"/>
      <c r="K115" s="1175"/>
      <c r="L115" s="1175"/>
      <c r="M115" s="1175"/>
      <c r="N115" s="1175"/>
      <c r="O115" s="1175"/>
      <c r="P115" s="1175"/>
      <c r="Q115" s="1175"/>
      <c r="R115" s="1175"/>
      <c r="S115" s="1175"/>
      <c r="T115" s="1175"/>
      <c r="U115" s="1175"/>
      <c r="V115" s="1175"/>
      <c r="W115" s="1175"/>
      <c r="X115" s="1175"/>
      <c r="Y115" s="1175"/>
      <c r="Z115" s="1175"/>
      <c r="AA115" s="1175"/>
      <c r="AB115" s="1175"/>
      <c r="AC115" s="1175"/>
      <c r="AD115" s="1175"/>
      <c r="AE115" s="1175"/>
      <c r="AF115" s="1175"/>
      <c r="AG115" s="1175"/>
      <c r="AH115" s="1175"/>
      <c r="AI115" s="1175"/>
      <c r="AJ115" s="1175"/>
      <c r="AK115" s="1175"/>
      <c r="AL115" s="1175"/>
      <c r="AM115" s="1175"/>
      <c r="AN115" s="1175"/>
      <c r="AO115" s="1175"/>
      <c r="AP115" s="1175"/>
      <c r="AQ115" s="1175"/>
      <c r="AR115" s="1175"/>
      <c r="AS115" s="1175"/>
      <c r="AT115" s="1175"/>
      <c r="AU115" s="1175"/>
      <c r="AV115" s="1175"/>
      <c r="AW115" s="1175"/>
      <c r="AX115" s="1175"/>
      <c r="AY115" s="1175"/>
      <c r="AZ115" s="1175"/>
      <c r="BA115" s="1175"/>
      <c r="BB115" s="1175"/>
      <c r="BC115" s="1175"/>
      <c r="BD115" s="1175"/>
      <c r="BE115" s="1175"/>
      <c r="BF115" s="1175"/>
      <c r="BG115" s="1175"/>
      <c r="BH115" s="1175"/>
      <c r="BI115" s="1175"/>
      <c r="BJ115" s="1175"/>
      <c r="BK115" s="1175"/>
      <c r="BL115" s="1175"/>
      <c r="BM115" s="1175"/>
      <c r="BN115" s="1175"/>
      <c r="BO115" s="1175"/>
      <c r="BP115" s="1175"/>
      <c r="BQ115" s="1175"/>
      <c r="BR115" s="1175"/>
      <c r="BS115" s="1175"/>
      <c r="BT115" s="1175"/>
      <c r="BU115" s="1175"/>
      <c r="BV115" s="1175"/>
      <c r="BW115" s="1175"/>
      <c r="BX115" s="1175"/>
      <c r="BY115" s="1175"/>
      <c r="BZ115" s="1175"/>
      <c r="CA115" s="1175"/>
      <c r="CB115" s="1175"/>
      <c r="CC115" s="1175"/>
      <c r="CD115" s="1175"/>
      <c r="CE115" s="1175"/>
      <c r="CF115" s="1175"/>
      <c r="CG115" s="1175"/>
      <c r="CH115" s="1175"/>
      <c r="CI115" s="1175"/>
      <c r="CJ115" s="1175"/>
      <c r="CK115" s="1175"/>
      <c r="CL115" s="1175"/>
      <c r="CM115" s="1175"/>
      <c r="CN115" s="1175"/>
      <c r="CO115" s="1175"/>
      <c r="CP115" s="1175"/>
      <c r="CQ115" s="1175"/>
      <c r="CR115" s="1175"/>
      <c r="CS115" s="1175"/>
      <c r="CT115" s="1175"/>
      <c r="CU115" s="1175"/>
      <c r="CV115" s="1175"/>
      <c r="CW115" s="1175"/>
      <c r="CX115" s="1175"/>
      <c r="CY115" s="1175"/>
      <c r="CZ115" s="1175"/>
      <c r="DA115" s="1175"/>
      <c r="DB115" s="1175"/>
      <c r="DC115" s="1175"/>
      <c r="DD115" s="1175"/>
      <c r="DE115" s="1175"/>
      <c r="DF115" s="1175"/>
      <c r="DG115" s="1175"/>
      <c r="DH115" s="1175"/>
      <c r="DI115" s="1175"/>
      <c r="DJ115" s="1175"/>
      <c r="DK115" s="1175"/>
      <c r="DL115" s="1175"/>
      <c r="DM115" s="1175"/>
      <c r="DN115" s="1175"/>
      <c r="DO115" s="1175"/>
      <c r="DP115" s="1175"/>
      <c r="DQ115" s="1175"/>
      <c r="DR115" s="1175"/>
      <c r="DS115" s="1175"/>
    </row>
    <row r="116" spans="5:123" s="1187" customFormat="1" ht="18" customHeight="1" x14ac:dyDescent="0.3">
      <c r="E116" s="1175"/>
      <c r="F116" s="1175"/>
      <c r="G116" s="1175"/>
      <c r="H116" s="1175"/>
      <c r="I116" s="1175"/>
      <c r="J116" s="1175"/>
      <c r="K116" s="1175"/>
      <c r="L116" s="1175"/>
      <c r="M116" s="1175"/>
      <c r="N116" s="1175"/>
      <c r="O116" s="1175"/>
      <c r="P116" s="1175"/>
      <c r="Q116" s="1175"/>
      <c r="R116" s="1175"/>
      <c r="S116" s="1175"/>
      <c r="T116" s="1175"/>
      <c r="U116" s="1175"/>
      <c r="V116" s="1175"/>
      <c r="W116" s="1175"/>
      <c r="X116" s="1175"/>
      <c r="Y116" s="1175"/>
      <c r="Z116" s="1175"/>
      <c r="AA116" s="1175"/>
      <c r="AB116" s="1175"/>
      <c r="AC116" s="1175"/>
      <c r="AD116" s="1175"/>
      <c r="AE116" s="1175"/>
      <c r="AF116" s="1175"/>
      <c r="AG116" s="1175"/>
      <c r="AH116" s="1175"/>
      <c r="AI116" s="1175"/>
      <c r="AJ116" s="1175"/>
      <c r="AK116" s="1175"/>
      <c r="AL116" s="1175"/>
      <c r="AM116" s="1175"/>
      <c r="AN116" s="1175"/>
      <c r="AO116" s="1175"/>
      <c r="AP116" s="1175"/>
      <c r="AQ116" s="1175"/>
      <c r="AR116" s="1175"/>
      <c r="AS116" s="1175"/>
      <c r="AT116" s="1175"/>
      <c r="AU116" s="1175"/>
      <c r="AV116" s="1175"/>
      <c r="AW116" s="1175"/>
      <c r="AX116" s="1175"/>
      <c r="AY116" s="1175"/>
      <c r="AZ116" s="1175"/>
      <c r="BA116" s="1175"/>
      <c r="BB116" s="1175"/>
      <c r="BC116" s="1175"/>
      <c r="BD116" s="1175"/>
      <c r="BE116" s="1175"/>
      <c r="BF116" s="1175"/>
      <c r="BG116" s="1175"/>
      <c r="BH116" s="1175"/>
      <c r="BI116" s="1175"/>
      <c r="BJ116" s="1175"/>
      <c r="BK116" s="1175"/>
      <c r="BL116" s="1175"/>
      <c r="BM116" s="1175"/>
      <c r="BN116" s="1175"/>
      <c r="BO116" s="1175"/>
      <c r="BP116" s="1175"/>
      <c r="BQ116" s="1175"/>
      <c r="BR116" s="1175"/>
      <c r="BS116" s="1175"/>
      <c r="BT116" s="1175"/>
      <c r="BU116" s="1175"/>
      <c r="BV116" s="1175"/>
      <c r="BW116" s="1175"/>
      <c r="BX116" s="1175"/>
      <c r="BY116" s="1175"/>
      <c r="BZ116" s="1175"/>
      <c r="CA116" s="1175"/>
      <c r="CB116" s="1175"/>
      <c r="CC116" s="1175"/>
      <c r="CD116" s="1175"/>
      <c r="CE116" s="1175"/>
      <c r="CF116" s="1175"/>
      <c r="CG116" s="1175"/>
      <c r="CH116" s="1175"/>
      <c r="CI116" s="1175"/>
      <c r="CJ116" s="1175"/>
      <c r="CK116" s="1175"/>
      <c r="CL116" s="1175"/>
      <c r="CM116" s="1175"/>
      <c r="CN116" s="1175"/>
      <c r="CO116" s="1175"/>
      <c r="CP116" s="1175"/>
      <c r="CQ116" s="1175"/>
      <c r="CR116" s="1175"/>
      <c r="CS116" s="1175"/>
      <c r="CT116" s="1175"/>
      <c r="CU116" s="1175"/>
      <c r="CV116" s="1175"/>
      <c r="CW116" s="1175"/>
      <c r="CX116" s="1175"/>
      <c r="CY116" s="1175"/>
      <c r="CZ116" s="1175"/>
      <c r="DA116" s="1175"/>
      <c r="DB116" s="1175"/>
      <c r="DC116" s="1175"/>
      <c r="DD116" s="1175"/>
      <c r="DE116" s="1175"/>
      <c r="DF116" s="1175"/>
      <c r="DG116" s="1175"/>
      <c r="DH116" s="1175"/>
      <c r="DI116" s="1175"/>
      <c r="DJ116" s="1175"/>
      <c r="DK116" s="1175"/>
      <c r="DL116" s="1175"/>
      <c r="DM116" s="1175"/>
      <c r="DN116" s="1175"/>
      <c r="DO116" s="1175"/>
      <c r="DP116" s="1175"/>
      <c r="DQ116" s="1175"/>
      <c r="DR116" s="1175"/>
      <c r="DS116" s="1175"/>
    </row>
    <row r="117" spans="5:123" s="1187" customFormat="1" ht="18" customHeight="1" x14ac:dyDescent="0.3">
      <c r="E117" s="1175"/>
      <c r="F117" s="1175"/>
      <c r="G117" s="1175"/>
      <c r="H117" s="1175"/>
      <c r="I117" s="1175"/>
      <c r="J117" s="1175"/>
      <c r="K117" s="1175"/>
      <c r="L117" s="1175"/>
      <c r="M117" s="1175"/>
      <c r="N117" s="1175"/>
      <c r="O117" s="1175"/>
      <c r="P117" s="1175"/>
      <c r="Q117" s="1175"/>
      <c r="R117" s="1175"/>
      <c r="S117" s="1175"/>
      <c r="T117" s="1175"/>
      <c r="U117" s="1175"/>
      <c r="V117" s="1175"/>
      <c r="W117" s="1175"/>
      <c r="X117" s="1175"/>
      <c r="Y117" s="1175"/>
      <c r="Z117" s="1175"/>
      <c r="AA117" s="1175"/>
      <c r="AB117" s="1175"/>
      <c r="AC117" s="1175"/>
      <c r="AD117" s="1175"/>
      <c r="AE117" s="1175"/>
      <c r="AF117" s="1175"/>
      <c r="AG117" s="1175"/>
      <c r="AH117" s="1175"/>
      <c r="AI117" s="1175"/>
      <c r="AJ117" s="1175"/>
      <c r="AK117" s="1175"/>
      <c r="AL117" s="1175"/>
      <c r="AM117" s="1175"/>
      <c r="AN117" s="1175"/>
      <c r="AO117" s="1175"/>
      <c r="AP117" s="1175"/>
      <c r="AQ117" s="1175"/>
      <c r="AR117" s="1175"/>
      <c r="AS117" s="1175"/>
      <c r="AT117" s="1175"/>
      <c r="AU117" s="1175"/>
      <c r="AV117" s="1175"/>
      <c r="AW117" s="1175"/>
      <c r="AX117" s="1175"/>
      <c r="AY117" s="1175"/>
      <c r="AZ117" s="1175"/>
      <c r="BA117" s="1175"/>
      <c r="BB117" s="1175"/>
      <c r="BC117" s="1175"/>
      <c r="BD117" s="1175"/>
      <c r="BE117" s="1175"/>
      <c r="BF117" s="1175"/>
      <c r="BG117" s="1175"/>
      <c r="BH117" s="1175"/>
      <c r="BI117" s="1175"/>
      <c r="BJ117" s="1175"/>
      <c r="BK117" s="1175"/>
      <c r="BL117" s="1175"/>
      <c r="BM117" s="1175"/>
      <c r="BN117" s="1175"/>
      <c r="BO117" s="1175"/>
      <c r="BP117" s="1175"/>
      <c r="BQ117" s="1175"/>
      <c r="BR117" s="1175"/>
      <c r="BS117" s="1175"/>
      <c r="BT117" s="1175"/>
      <c r="BU117" s="1175"/>
      <c r="BV117" s="1175"/>
      <c r="BW117" s="1175"/>
      <c r="BX117" s="1175"/>
      <c r="BY117" s="1175"/>
      <c r="BZ117" s="1175"/>
      <c r="CA117" s="1175"/>
      <c r="CB117" s="1175"/>
      <c r="CC117" s="1175"/>
      <c r="CD117" s="1175"/>
      <c r="CE117" s="1175"/>
      <c r="CF117" s="1175"/>
      <c r="CG117" s="1175"/>
      <c r="CH117" s="1175"/>
      <c r="CI117" s="1175"/>
      <c r="CJ117" s="1175"/>
      <c r="CK117" s="1175"/>
      <c r="CL117" s="1175"/>
      <c r="CM117" s="1175"/>
      <c r="CN117" s="1175"/>
      <c r="CO117" s="1175"/>
      <c r="CP117" s="1175"/>
      <c r="CQ117" s="1175"/>
      <c r="CR117" s="1175"/>
      <c r="CS117" s="1175"/>
      <c r="CT117" s="1175"/>
      <c r="CU117" s="1175"/>
      <c r="CV117" s="1175"/>
      <c r="CW117" s="1175"/>
      <c r="CX117" s="1175"/>
      <c r="CY117" s="1175"/>
      <c r="CZ117" s="1175"/>
      <c r="DA117" s="1175"/>
      <c r="DB117" s="1175"/>
      <c r="DC117" s="1175"/>
      <c r="DD117" s="1175"/>
      <c r="DE117" s="1175"/>
      <c r="DF117" s="1175"/>
      <c r="DG117" s="1175"/>
      <c r="DH117" s="1175"/>
      <c r="DI117" s="1175"/>
      <c r="DJ117" s="1175"/>
      <c r="DK117" s="1175"/>
      <c r="DL117" s="1175"/>
      <c r="DM117" s="1175"/>
      <c r="DN117" s="1175"/>
      <c r="DO117" s="1175"/>
      <c r="DP117" s="1175"/>
      <c r="DQ117" s="1175"/>
      <c r="DR117" s="1175"/>
      <c r="DS117" s="1175"/>
    </row>
    <row r="118" spans="5:123" s="1187" customFormat="1" ht="18" customHeight="1" x14ac:dyDescent="0.3">
      <c r="E118" s="1175"/>
      <c r="F118" s="1175"/>
      <c r="G118" s="1175"/>
      <c r="H118" s="1175"/>
      <c r="I118" s="1175"/>
      <c r="J118" s="1175"/>
      <c r="K118" s="1175"/>
      <c r="L118" s="1175"/>
      <c r="M118" s="1175"/>
      <c r="N118" s="1175"/>
      <c r="O118" s="1175"/>
      <c r="P118" s="1175"/>
      <c r="Q118" s="1175"/>
      <c r="R118" s="1175"/>
      <c r="S118" s="1175"/>
      <c r="T118" s="1175"/>
      <c r="U118" s="1175"/>
      <c r="V118" s="1175"/>
      <c r="W118" s="1175"/>
      <c r="X118" s="1175"/>
      <c r="Y118" s="1175"/>
      <c r="Z118" s="1175"/>
      <c r="AA118" s="1175"/>
      <c r="AB118" s="1175"/>
      <c r="AC118" s="1175"/>
      <c r="AD118" s="1175"/>
      <c r="AE118" s="1175"/>
      <c r="AF118" s="1175"/>
      <c r="AG118" s="1175"/>
      <c r="AH118" s="1175"/>
      <c r="AI118" s="1175"/>
      <c r="AJ118" s="1175"/>
      <c r="AK118" s="1175"/>
      <c r="AL118" s="1175"/>
      <c r="AM118" s="1175"/>
      <c r="AN118" s="1175"/>
      <c r="AO118" s="1175"/>
      <c r="AP118" s="1175"/>
      <c r="AQ118" s="1175"/>
      <c r="AR118" s="1175"/>
      <c r="AS118" s="1175"/>
      <c r="AT118" s="1175"/>
      <c r="AU118" s="1175"/>
      <c r="AV118" s="1175"/>
      <c r="AW118" s="1175"/>
      <c r="AX118" s="1175"/>
      <c r="AY118" s="1175"/>
      <c r="AZ118" s="1175"/>
      <c r="BA118" s="1175"/>
      <c r="BB118" s="1175"/>
      <c r="BC118" s="1175"/>
      <c r="BD118" s="1175"/>
      <c r="BE118" s="1175"/>
      <c r="BF118" s="1175"/>
      <c r="BG118" s="1175"/>
      <c r="BH118" s="1175"/>
      <c r="BI118" s="1175"/>
      <c r="BJ118" s="1175"/>
      <c r="BK118" s="1175"/>
      <c r="BL118" s="1175"/>
      <c r="BM118" s="1175"/>
      <c r="BN118" s="1175"/>
      <c r="BO118" s="1175"/>
      <c r="BP118" s="1175"/>
      <c r="BQ118" s="1175"/>
      <c r="BR118" s="1175"/>
      <c r="BS118" s="1175"/>
      <c r="BT118" s="1175"/>
      <c r="BU118" s="1175"/>
      <c r="BV118" s="1175"/>
      <c r="BW118" s="1175"/>
      <c r="BX118" s="1175"/>
      <c r="BY118" s="1175"/>
      <c r="BZ118" s="1175"/>
      <c r="CA118" s="1175"/>
      <c r="CB118" s="1175"/>
      <c r="CC118" s="1175"/>
      <c r="CD118" s="1175"/>
      <c r="CE118" s="1175"/>
      <c r="CF118" s="1175"/>
      <c r="CG118" s="1175"/>
      <c r="CH118" s="1175"/>
      <c r="CI118" s="1175"/>
      <c r="CJ118" s="1175"/>
      <c r="CK118" s="1175"/>
      <c r="CL118" s="1175"/>
      <c r="CM118" s="1175"/>
      <c r="CN118" s="1175"/>
      <c r="CO118" s="1175"/>
      <c r="CP118" s="1175"/>
      <c r="CQ118" s="1175"/>
      <c r="CR118" s="1175"/>
      <c r="CS118" s="1175"/>
      <c r="CT118" s="1175"/>
      <c r="CU118" s="1175"/>
      <c r="CV118" s="1175"/>
      <c r="CW118" s="1175"/>
      <c r="CX118" s="1175"/>
      <c r="CY118" s="1175"/>
      <c r="CZ118" s="1175"/>
      <c r="DA118" s="1175"/>
      <c r="DB118" s="1175"/>
      <c r="DC118" s="1175"/>
      <c r="DD118" s="1175"/>
      <c r="DE118" s="1175"/>
      <c r="DF118" s="1175"/>
      <c r="DG118" s="1175"/>
      <c r="DH118" s="1175"/>
      <c r="DI118" s="1175"/>
      <c r="DJ118" s="1175"/>
      <c r="DK118" s="1175"/>
      <c r="DL118" s="1175"/>
      <c r="DM118" s="1175"/>
      <c r="DN118" s="1175"/>
      <c r="DO118" s="1175"/>
      <c r="DP118" s="1175"/>
      <c r="DQ118" s="1175"/>
      <c r="DR118" s="1175"/>
      <c r="DS118" s="1175"/>
    </row>
    <row r="119" spans="5:123" s="1187" customFormat="1" ht="18" customHeight="1" x14ac:dyDescent="0.3">
      <c r="E119" s="1175"/>
      <c r="F119" s="1175"/>
      <c r="G119" s="1175"/>
      <c r="H119" s="1175"/>
      <c r="I119" s="1175"/>
      <c r="J119" s="1175"/>
      <c r="K119" s="1175"/>
      <c r="L119" s="1175"/>
      <c r="M119" s="1175"/>
      <c r="N119" s="1175"/>
      <c r="O119" s="1175"/>
      <c r="P119" s="1175"/>
      <c r="Q119" s="1175"/>
      <c r="R119" s="1175"/>
      <c r="S119" s="1175"/>
      <c r="T119" s="1175"/>
      <c r="U119" s="1175"/>
      <c r="V119" s="1175"/>
      <c r="W119" s="1175"/>
      <c r="X119" s="1175"/>
      <c r="Y119" s="1175"/>
      <c r="Z119" s="1175"/>
      <c r="AA119" s="1175"/>
      <c r="AB119" s="1175"/>
      <c r="AC119" s="1175"/>
      <c r="AD119" s="1175"/>
      <c r="AE119" s="1175"/>
      <c r="AF119" s="1175"/>
      <c r="AG119" s="1175"/>
      <c r="AH119" s="1175"/>
      <c r="AI119" s="1175"/>
      <c r="AJ119" s="1175"/>
      <c r="AK119" s="1175"/>
      <c r="AL119" s="1175"/>
      <c r="AM119" s="1175"/>
      <c r="AN119" s="1175"/>
      <c r="AO119" s="1175"/>
      <c r="AP119" s="1175"/>
      <c r="AQ119" s="1175"/>
      <c r="AR119" s="1175"/>
      <c r="AS119" s="1175"/>
      <c r="AT119" s="1175"/>
      <c r="AU119" s="1175"/>
      <c r="AV119" s="1175"/>
      <c r="AW119" s="1175"/>
      <c r="AX119" s="1175"/>
      <c r="AY119" s="1175"/>
      <c r="AZ119" s="1175"/>
      <c r="BA119" s="1175"/>
      <c r="BB119" s="1175"/>
      <c r="BC119" s="1175"/>
      <c r="BD119" s="1175"/>
      <c r="BE119" s="1175"/>
      <c r="BF119" s="1175"/>
      <c r="BG119" s="1175"/>
      <c r="BH119" s="1175"/>
      <c r="BI119" s="1175"/>
      <c r="BJ119" s="1175"/>
      <c r="BK119" s="1175"/>
      <c r="BL119" s="1175"/>
      <c r="BM119" s="1175"/>
      <c r="BN119" s="1175"/>
      <c r="BO119" s="1175"/>
      <c r="BP119" s="1175"/>
      <c r="BQ119" s="1175"/>
      <c r="BR119" s="1175"/>
      <c r="BS119" s="1175"/>
      <c r="BT119" s="1175"/>
      <c r="BU119" s="1175"/>
      <c r="BV119" s="1175"/>
      <c r="BW119" s="1175"/>
      <c r="BX119" s="1175"/>
      <c r="BY119" s="1175"/>
      <c r="BZ119" s="1175"/>
      <c r="CA119" s="1175"/>
      <c r="CB119" s="1175"/>
      <c r="CC119" s="1175"/>
      <c r="CD119" s="1175"/>
      <c r="CE119" s="1175"/>
      <c r="CF119" s="1175"/>
      <c r="CG119" s="1175"/>
      <c r="CH119" s="1175"/>
      <c r="CI119" s="1175"/>
      <c r="CJ119" s="1175"/>
      <c r="CK119" s="1175"/>
      <c r="CL119" s="1175"/>
      <c r="CM119" s="1175"/>
      <c r="CN119" s="1175"/>
      <c r="CO119" s="1175"/>
      <c r="CP119" s="1175"/>
      <c r="CQ119" s="1175"/>
      <c r="CR119" s="1175"/>
      <c r="CS119" s="1175"/>
      <c r="CT119" s="1175"/>
      <c r="CU119" s="1175"/>
      <c r="CV119" s="1175"/>
      <c r="CW119" s="1175"/>
      <c r="CX119" s="1175"/>
      <c r="CY119" s="1175"/>
      <c r="CZ119" s="1175"/>
      <c r="DA119" s="1175"/>
      <c r="DB119" s="1175"/>
      <c r="DC119" s="1175"/>
      <c r="DD119" s="1175"/>
      <c r="DE119" s="1175"/>
      <c r="DF119" s="1175"/>
      <c r="DG119" s="1175"/>
      <c r="DH119" s="1175"/>
      <c r="DI119" s="1175"/>
      <c r="DJ119" s="1175"/>
      <c r="DK119" s="1175"/>
      <c r="DL119" s="1175"/>
      <c r="DM119" s="1175"/>
      <c r="DN119" s="1175"/>
      <c r="DO119" s="1175"/>
      <c r="DP119" s="1175"/>
      <c r="DQ119" s="1175"/>
      <c r="DR119" s="1175"/>
      <c r="DS119" s="1175"/>
    </row>
    <row r="120" spans="5:123" s="1187" customFormat="1" ht="18" customHeight="1" x14ac:dyDescent="0.3">
      <c r="E120" s="1175"/>
      <c r="F120" s="1175"/>
      <c r="G120" s="1175"/>
      <c r="H120" s="1175"/>
      <c r="I120" s="1175"/>
      <c r="J120" s="1175"/>
      <c r="K120" s="1175"/>
      <c r="L120" s="1175"/>
      <c r="M120" s="1175"/>
      <c r="N120" s="1175"/>
      <c r="O120" s="1175"/>
      <c r="P120" s="1175"/>
      <c r="Q120" s="1175"/>
      <c r="R120" s="1175"/>
      <c r="S120" s="1175"/>
      <c r="T120" s="1175"/>
      <c r="U120" s="1175"/>
      <c r="V120" s="1175"/>
      <c r="W120" s="1175"/>
      <c r="X120" s="1175"/>
      <c r="Y120" s="1175"/>
      <c r="Z120" s="1175"/>
      <c r="AA120" s="1175"/>
      <c r="AB120" s="1175"/>
      <c r="AC120" s="1175"/>
      <c r="AD120" s="1175"/>
      <c r="AE120" s="1175"/>
      <c r="AF120" s="1175"/>
      <c r="AG120" s="1175"/>
      <c r="AH120" s="1175"/>
      <c r="AI120" s="1175"/>
      <c r="AJ120" s="1175"/>
      <c r="AK120" s="1175"/>
      <c r="AL120" s="1175"/>
      <c r="AM120" s="1175"/>
      <c r="AN120" s="1175"/>
      <c r="AO120" s="1175"/>
      <c r="AP120" s="1175"/>
      <c r="AQ120" s="1175"/>
      <c r="AR120" s="1175"/>
      <c r="AS120" s="1175"/>
      <c r="AT120" s="1175"/>
      <c r="AU120" s="1175"/>
      <c r="AV120" s="1175"/>
      <c r="AW120" s="1175"/>
      <c r="AX120" s="1175"/>
      <c r="AY120" s="1175"/>
      <c r="AZ120" s="1175"/>
      <c r="BA120" s="1175"/>
      <c r="BB120" s="1175"/>
      <c r="BC120" s="1175"/>
      <c r="BD120" s="1175"/>
      <c r="BE120" s="1175"/>
      <c r="BF120" s="1175"/>
      <c r="BG120" s="1175"/>
      <c r="BH120" s="1175"/>
      <c r="BI120" s="1175"/>
      <c r="BJ120" s="1175"/>
      <c r="BK120" s="1175"/>
      <c r="BL120" s="1175"/>
      <c r="BM120" s="1175"/>
      <c r="BN120" s="1175"/>
      <c r="BO120" s="1175"/>
      <c r="BP120" s="1175"/>
      <c r="BQ120" s="1175"/>
      <c r="BR120" s="1175"/>
      <c r="BS120" s="1175"/>
      <c r="BT120" s="1175"/>
      <c r="BU120" s="1175"/>
      <c r="BV120" s="1175"/>
      <c r="BW120" s="1175"/>
      <c r="BX120" s="1175"/>
      <c r="BY120" s="1175"/>
      <c r="BZ120" s="1175"/>
      <c r="CA120" s="1175"/>
      <c r="CB120" s="1175"/>
      <c r="CC120" s="1175"/>
      <c r="CD120" s="1175"/>
      <c r="CE120" s="1175"/>
      <c r="CF120" s="1175"/>
      <c r="CG120" s="1175"/>
      <c r="CH120" s="1175"/>
      <c r="CI120" s="1175"/>
      <c r="CJ120" s="1175"/>
      <c r="CK120" s="1175"/>
      <c r="CL120" s="1175"/>
      <c r="CM120" s="1175"/>
      <c r="CN120" s="1175"/>
      <c r="CO120" s="1175"/>
      <c r="CP120" s="1175"/>
      <c r="CQ120" s="1175"/>
      <c r="CR120" s="1175"/>
      <c r="CS120" s="1175"/>
      <c r="CT120" s="1175"/>
      <c r="CU120" s="1175"/>
      <c r="CV120" s="1175"/>
      <c r="CW120" s="1175"/>
      <c r="CX120" s="1175"/>
      <c r="CY120" s="1175"/>
      <c r="CZ120" s="1175"/>
      <c r="DA120" s="1175"/>
      <c r="DB120" s="1175"/>
      <c r="DC120" s="1175"/>
      <c r="DD120" s="1175"/>
      <c r="DE120" s="1175"/>
      <c r="DF120" s="1175"/>
      <c r="DG120" s="1175"/>
      <c r="DH120" s="1175"/>
      <c r="DI120" s="1175"/>
      <c r="DJ120" s="1175"/>
      <c r="DK120" s="1175"/>
      <c r="DL120" s="1175"/>
      <c r="DM120" s="1175"/>
      <c r="DN120" s="1175"/>
      <c r="DO120" s="1175"/>
      <c r="DP120" s="1175"/>
      <c r="DQ120" s="1175"/>
      <c r="DR120" s="1175"/>
      <c r="DS120" s="1175"/>
    </row>
    <row r="121" spans="5:123" s="1187" customFormat="1" ht="18" customHeight="1" x14ac:dyDescent="0.3">
      <c r="E121" s="1175"/>
      <c r="F121" s="1175"/>
      <c r="G121" s="1175"/>
      <c r="H121" s="1175"/>
      <c r="I121" s="1175"/>
      <c r="J121" s="1175"/>
      <c r="K121" s="1175"/>
      <c r="L121" s="1175"/>
      <c r="M121" s="1175"/>
      <c r="N121" s="1175"/>
      <c r="O121" s="1175"/>
      <c r="P121" s="1175"/>
      <c r="Q121" s="1175"/>
      <c r="R121" s="1175"/>
      <c r="S121" s="1175"/>
      <c r="T121" s="1175"/>
      <c r="U121" s="1175"/>
      <c r="V121" s="1175"/>
      <c r="W121" s="1175"/>
      <c r="X121" s="1175"/>
      <c r="Y121" s="1175"/>
      <c r="Z121" s="1175"/>
      <c r="AA121" s="1175"/>
      <c r="AB121" s="1175"/>
      <c r="AC121" s="1175"/>
      <c r="AD121" s="1175"/>
      <c r="AE121" s="1175"/>
      <c r="AF121" s="1175"/>
      <c r="AG121" s="1175"/>
      <c r="AH121" s="1175"/>
      <c r="AI121" s="1175"/>
      <c r="AJ121" s="1175"/>
      <c r="AK121" s="1175"/>
      <c r="AL121" s="1175"/>
      <c r="AM121" s="1175"/>
      <c r="AN121" s="1175"/>
      <c r="AO121" s="1175"/>
      <c r="AP121" s="1175"/>
      <c r="AQ121" s="1175"/>
      <c r="AR121" s="1175"/>
      <c r="AS121" s="1175"/>
      <c r="AT121" s="1175"/>
      <c r="AU121" s="1175"/>
      <c r="AV121" s="1175"/>
      <c r="AW121" s="1175"/>
      <c r="AX121" s="1175"/>
      <c r="AY121" s="1175"/>
      <c r="AZ121" s="1175"/>
      <c r="BA121" s="1175"/>
      <c r="BB121" s="1175"/>
      <c r="BC121" s="1175"/>
      <c r="BD121" s="1175"/>
      <c r="BE121" s="1175"/>
      <c r="BF121" s="1175"/>
      <c r="BG121" s="1175"/>
      <c r="BH121" s="1175"/>
      <c r="BI121" s="1175"/>
      <c r="BJ121" s="1175"/>
      <c r="BK121" s="1175"/>
      <c r="BL121" s="1175"/>
      <c r="BM121" s="1175"/>
      <c r="BN121" s="1175"/>
      <c r="BO121" s="1175"/>
      <c r="BP121" s="1175"/>
      <c r="BQ121" s="1175"/>
      <c r="BR121" s="1175"/>
      <c r="BS121" s="1175"/>
      <c r="BT121" s="1175"/>
      <c r="BU121" s="1175"/>
      <c r="BV121" s="1175"/>
      <c r="BW121" s="1175"/>
      <c r="BX121" s="1175"/>
      <c r="BY121" s="1175"/>
      <c r="BZ121" s="1175"/>
      <c r="CA121" s="1175"/>
      <c r="CB121" s="1175"/>
      <c r="CC121" s="1175"/>
      <c r="CD121" s="1175"/>
      <c r="CE121" s="1175"/>
      <c r="CF121" s="1175"/>
      <c r="CG121" s="1175"/>
      <c r="CH121" s="1175"/>
      <c r="CI121" s="1175"/>
      <c r="CJ121" s="1175"/>
      <c r="CK121" s="1175"/>
      <c r="CL121" s="1175"/>
      <c r="CM121" s="1175"/>
      <c r="CN121" s="1175"/>
      <c r="CO121" s="1175"/>
      <c r="CP121" s="1175"/>
      <c r="CQ121" s="1175"/>
      <c r="CR121" s="1175"/>
      <c r="CS121" s="1175"/>
      <c r="CT121" s="1175"/>
      <c r="CU121" s="1175"/>
      <c r="CV121" s="1175"/>
      <c r="CW121" s="1175"/>
      <c r="CX121" s="1175"/>
      <c r="CY121" s="1175"/>
      <c r="CZ121" s="1175"/>
      <c r="DA121" s="1175"/>
      <c r="DB121" s="1175"/>
      <c r="DC121" s="1175"/>
      <c r="DD121" s="1175"/>
      <c r="DE121" s="1175"/>
      <c r="DF121" s="1175"/>
      <c r="DG121" s="1175"/>
      <c r="DH121" s="1175"/>
      <c r="DI121" s="1175"/>
      <c r="DJ121" s="1175"/>
      <c r="DK121" s="1175"/>
      <c r="DL121" s="1175"/>
      <c r="DM121" s="1175"/>
      <c r="DN121" s="1175"/>
      <c r="DO121" s="1175"/>
      <c r="DP121" s="1175"/>
      <c r="DQ121" s="1175"/>
      <c r="DR121" s="1175"/>
      <c r="DS121" s="1175"/>
    </row>
    <row r="122" spans="5:123" s="1187" customFormat="1" ht="18" customHeight="1" x14ac:dyDescent="0.3">
      <c r="E122" s="1175"/>
      <c r="F122" s="1175"/>
      <c r="G122" s="1175"/>
      <c r="H122" s="1175"/>
      <c r="I122" s="1175"/>
      <c r="J122" s="1175"/>
      <c r="K122" s="1175"/>
      <c r="L122" s="1175"/>
      <c r="M122" s="1175"/>
      <c r="N122" s="1175"/>
      <c r="O122" s="1175"/>
      <c r="P122" s="1175"/>
      <c r="Q122" s="1175"/>
      <c r="R122" s="1175"/>
      <c r="S122" s="1175"/>
      <c r="T122" s="1175"/>
      <c r="U122" s="1175"/>
      <c r="V122" s="1175"/>
      <c r="W122" s="1175"/>
      <c r="X122" s="1175"/>
      <c r="Y122" s="1175"/>
      <c r="Z122" s="1175"/>
      <c r="AA122" s="1175"/>
      <c r="AB122" s="1175"/>
      <c r="AC122" s="1175"/>
      <c r="AD122" s="1175"/>
      <c r="AE122" s="1175"/>
      <c r="AF122" s="1175"/>
      <c r="AG122" s="1175"/>
      <c r="AH122" s="1175"/>
      <c r="AI122" s="1175"/>
      <c r="AJ122" s="1175"/>
      <c r="AK122" s="1175"/>
      <c r="AL122" s="1175"/>
      <c r="AM122" s="1175"/>
      <c r="AN122" s="1175"/>
      <c r="AO122" s="1175"/>
      <c r="AP122" s="1175"/>
      <c r="AQ122" s="1175"/>
      <c r="AR122" s="1175"/>
      <c r="AS122" s="1175"/>
      <c r="AT122" s="1175"/>
      <c r="AU122" s="1175"/>
      <c r="AV122" s="1175"/>
      <c r="AW122" s="1175"/>
      <c r="AX122" s="1175"/>
      <c r="AY122" s="1175"/>
      <c r="AZ122" s="1175"/>
      <c r="BA122" s="1175"/>
      <c r="BB122" s="1175"/>
      <c r="BC122" s="1175"/>
      <c r="BD122" s="1175"/>
      <c r="BE122" s="1175"/>
      <c r="BF122" s="1175"/>
      <c r="BG122" s="1175"/>
      <c r="BH122" s="1175"/>
      <c r="BI122" s="1175"/>
      <c r="BJ122" s="1175"/>
      <c r="BK122" s="1175"/>
      <c r="BL122" s="1175"/>
      <c r="BM122" s="1175"/>
      <c r="BN122" s="1175"/>
      <c r="BO122" s="1175"/>
      <c r="BP122" s="1175"/>
      <c r="BQ122" s="1175"/>
      <c r="BR122" s="1175"/>
      <c r="BS122" s="1175"/>
      <c r="BT122" s="1175"/>
      <c r="BU122" s="1175"/>
      <c r="BV122" s="1175"/>
      <c r="BW122" s="1175"/>
      <c r="BX122" s="1175"/>
      <c r="BY122" s="1175"/>
      <c r="BZ122" s="1175"/>
      <c r="CA122" s="1175"/>
      <c r="CB122" s="1175"/>
      <c r="CC122" s="1175"/>
      <c r="CD122" s="1175"/>
      <c r="CE122" s="1175"/>
      <c r="CF122" s="1175"/>
      <c r="CG122" s="1175"/>
      <c r="CH122" s="1175"/>
      <c r="CI122" s="1175"/>
      <c r="CJ122" s="1175"/>
      <c r="CK122" s="1175"/>
      <c r="CL122" s="1175"/>
      <c r="CM122" s="1175"/>
      <c r="CN122" s="1175"/>
      <c r="CO122" s="1175"/>
      <c r="CP122" s="1175"/>
      <c r="CQ122" s="1175"/>
      <c r="CR122" s="1175"/>
      <c r="CS122" s="1175"/>
      <c r="CT122" s="1175"/>
      <c r="CU122" s="1175"/>
      <c r="CV122" s="1175"/>
      <c r="CW122" s="1175"/>
      <c r="CX122" s="1175"/>
      <c r="CY122" s="1175"/>
      <c r="CZ122" s="1175"/>
      <c r="DA122" s="1175"/>
      <c r="DB122" s="1175"/>
      <c r="DC122" s="1175"/>
      <c r="DD122" s="1175"/>
      <c r="DE122" s="1175"/>
      <c r="DF122" s="1175"/>
      <c r="DG122" s="1175"/>
      <c r="DH122" s="1175"/>
      <c r="DI122" s="1175"/>
      <c r="DJ122" s="1175"/>
      <c r="DK122" s="1175"/>
      <c r="DL122" s="1175"/>
      <c r="DM122" s="1175"/>
      <c r="DN122" s="1175"/>
      <c r="DO122" s="1175"/>
      <c r="DP122" s="1175"/>
      <c r="DQ122" s="1175"/>
      <c r="DR122" s="1175"/>
      <c r="DS122" s="1175"/>
    </row>
    <row r="123" spans="5:123" s="1187" customFormat="1" ht="18" customHeight="1" x14ac:dyDescent="0.3">
      <c r="E123" s="1175"/>
      <c r="F123" s="1175"/>
      <c r="G123" s="1175"/>
      <c r="H123" s="1175"/>
      <c r="I123" s="1175"/>
      <c r="J123" s="1175"/>
      <c r="K123" s="1175"/>
      <c r="L123" s="1175"/>
      <c r="M123" s="1175"/>
      <c r="N123" s="1175"/>
      <c r="O123" s="1175"/>
      <c r="P123" s="1175"/>
      <c r="Q123" s="1175"/>
      <c r="R123" s="1175"/>
      <c r="S123" s="1175"/>
      <c r="T123" s="1175"/>
      <c r="U123" s="1175"/>
      <c r="V123" s="1175"/>
      <c r="W123" s="1175"/>
      <c r="X123" s="1175"/>
      <c r="Y123" s="1175"/>
      <c r="Z123" s="1175"/>
      <c r="AA123" s="1175"/>
      <c r="AB123" s="1175"/>
      <c r="AC123" s="1175"/>
      <c r="AD123" s="1175"/>
      <c r="AE123" s="1175"/>
      <c r="AF123" s="1175"/>
      <c r="AG123" s="1175"/>
      <c r="AH123" s="1175"/>
      <c r="AI123" s="1175"/>
      <c r="AJ123" s="1175"/>
      <c r="AK123" s="1175"/>
      <c r="AL123" s="1175"/>
      <c r="AM123" s="1175"/>
      <c r="AN123" s="1175"/>
      <c r="AO123" s="1175"/>
      <c r="AP123" s="1175"/>
      <c r="AQ123" s="1175"/>
      <c r="AR123" s="1175"/>
      <c r="AS123" s="1175"/>
      <c r="AT123" s="1175"/>
      <c r="AU123" s="1175"/>
      <c r="AV123" s="1175"/>
      <c r="AW123" s="1175"/>
      <c r="AX123" s="1175"/>
      <c r="AY123" s="1175"/>
      <c r="AZ123" s="1175"/>
      <c r="BA123" s="1175"/>
      <c r="BB123" s="1175"/>
      <c r="BC123" s="1175"/>
      <c r="BD123" s="1175"/>
      <c r="BE123" s="1175"/>
      <c r="BF123" s="1175"/>
      <c r="BG123" s="1175"/>
      <c r="BH123" s="1175"/>
      <c r="BI123" s="1175"/>
      <c r="BJ123" s="1175"/>
      <c r="BK123" s="1175"/>
      <c r="BL123" s="1175"/>
      <c r="BM123" s="1175"/>
      <c r="BN123" s="1175"/>
      <c r="BO123" s="1175"/>
      <c r="BP123" s="1175"/>
      <c r="BQ123" s="1175"/>
      <c r="BR123" s="1175"/>
      <c r="BS123" s="1175"/>
      <c r="BT123" s="1175"/>
      <c r="BU123" s="1175"/>
      <c r="BV123" s="1175"/>
      <c r="BW123" s="1175"/>
      <c r="BX123" s="1175"/>
      <c r="BY123" s="1175"/>
      <c r="BZ123" s="1175"/>
      <c r="CA123" s="1175"/>
      <c r="CB123" s="1175"/>
      <c r="CC123" s="1175"/>
      <c r="CD123" s="1175"/>
      <c r="CE123" s="1175"/>
      <c r="CF123" s="1175"/>
      <c r="CG123" s="1175"/>
      <c r="CH123" s="1175"/>
      <c r="CI123" s="1175"/>
      <c r="CJ123" s="1175"/>
      <c r="CK123" s="1175"/>
      <c r="CL123" s="1175"/>
      <c r="CM123" s="1175"/>
      <c r="CN123" s="1175"/>
      <c r="CO123" s="1175"/>
      <c r="CP123" s="1175"/>
      <c r="CQ123" s="1175"/>
      <c r="CR123" s="1175"/>
      <c r="CS123" s="1175"/>
      <c r="CT123" s="1175"/>
      <c r="CU123" s="1175"/>
      <c r="CV123" s="1175"/>
      <c r="CW123" s="1175"/>
      <c r="CX123" s="1175"/>
      <c r="CY123" s="1175"/>
      <c r="CZ123" s="1175"/>
      <c r="DA123" s="1175"/>
      <c r="DB123" s="1175"/>
      <c r="DC123" s="1175"/>
      <c r="DD123" s="1175"/>
      <c r="DE123" s="1175"/>
      <c r="DF123" s="1175"/>
      <c r="DG123" s="1175"/>
      <c r="DH123" s="1175"/>
      <c r="DI123" s="1175"/>
      <c r="DJ123" s="1175"/>
      <c r="DK123" s="1175"/>
      <c r="DL123" s="1175"/>
      <c r="DM123" s="1175"/>
      <c r="DN123" s="1175"/>
      <c r="DO123" s="1175"/>
      <c r="DP123" s="1175"/>
      <c r="DQ123" s="1175"/>
      <c r="DR123" s="1175"/>
      <c r="DS123" s="1175"/>
    </row>
    <row r="124" spans="5:123" s="1187" customFormat="1" ht="18" customHeight="1" x14ac:dyDescent="0.3">
      <c r="E124" s="1175"/>
      <c r="F124" s="1175"/>
      <c r="G124" s="1175"/>
      <c r="H124" s="1175"/>
      <c r="I124" s="1175"/>
      <c r="J124" s="1175"/>
      <c r="K124" s="1175"/>
      <c r="L124" s="1175"/>
      <c r="M124" s="1175"/>
      <c r="N124" s="1175"/>
      <c r="O124" s="1175"/>
      <c r="P124" s="1175"/>
      <c r="Q124" s="1175"/>
      <c r="R124" s="1175"/>
      <c r="S124" s="1175"/>
      <c r="T124" s="1175"/>
      <c r="U124" s="1175"/>
      <c r="V124" s="1175"/>
      <c r="W124" s="1175"/>
      <c r="X124" s="1175"/>
      <c r="Y124" s="1175"/>
      <c r="Z124" s="1175"/>
      <c r="AA124" s="1175"/>
      <c r="AB124" s="1175"/>
      <c r="AC124" s="1175"/>
      <c r="AD124" s="1175"/>
      <c r="AE124" s="1175"/>
      <c r="AF124" s="1175"/>
      <c r="AG124" s="1175"/>
      <c r="AH124" s="1175"/>
      <c r="AI124" s="1175"/>
      <c r="AJ124" s="1175"/>
      <c r="AK124" s="1175"/>
      <c r="AL124" s="1175"/>
      <c r="AM124" s="1175"/>
      <c r="AN124" s="1175"/>
      <c r="AO124" s="1175"/>
      <c r="AP124" s="1175"/>
      <c r="AQ124" s="1175"/>
      <c r="AR124" s="1175"/>
      <c r="AS124" s="1175"/>
      <c r="AT124" s="1175"/>
      <c r="AU124" s="1175"/>
      <c r="AV124" s="1175"/>
      <c r="AW124" s="1175"/>
      <c r="AX124" s="1175"/>
      <c r="AY124" s="1175"/>
      <c r="AZ124" s="1175"/>
      <c r="BA124" s="1175"/>
      <c r="BB124" s="1175"/>
      <c r="BC124" s="1175"/>
      <c r="BD124" s="1175"/>
      <c r="BE124" s="1175"/>
      <c r="BF124" s="1175"/>
      <c r="BG124" s="1175"/>
      <c r="BH124" s="1175"/>
      <c r="BI124" s="1175"/>
      <c r="BJ124" s="1175"/>
      <c r="BK124" s="1175"/>
      <c r="BL124" s="1175"/>
      <c r="BM124" s="1175"/>
      <c r="BN124" s="1175"/>
      <c r="BO124" s="1175"/>
      <c r="BP124" s="1175"/>
      <c r="BQ124" s="1175"/>
      <c r="BR124" s="1175"/>
      <c r="BS124" s="1175"/>
      <c r="BT124" s="1175"/>
      <c r="BU124" s="1175"/>
      <c r="BV124" s="1175"/>
      <c r="BW124" s="1175"/>
      <c r="BX124" s="1175"/>
      <c r="BY124" s="1175"/>
      <c r="BZ124" s="1175"/>
      <c r="CA124" s="1175"/>
      <c r="CB124" s="1175"/>
      <c r="CC124" s="1175"/>
      <c r="CD124" s="1175"/>
      <c r="CE124" s="1175"/>
      <c r="CF124" s="1175"/>
      <c r="CG124" s="1175"/>
      <c r="CH124" s="1175"/>
      <c r="CI124" s="1175"/>
      <c r="CJ124" s="1175"/>
      <c r="CK124" s="1175"/>
      <c r="CL124" s="1175"/>
      <c r="CM124" s="1175"/>
      <c r="CN124" s="1175"/>
      <c r="CO124" s="1175"/>
      <c r="CP124" s="1175"/>
      <c r="CQ124" s="1175"/>
      <c r="CR124" s="1175"/>
      <c r="CS124" s="1175"/>
      <c r="CT124" s="1175"/>
      <c r="CU124" s="1175"/>
      <c r="CV124" s="1175"/>
      <c r="CW124" s="1175"/>
      <c r="CX124" s="1175"/>
      <c r="CY124" s="1175"/>
      <c r="CZ124" s="1175"/>
      <c r="DA124" s="1175"/>
      <c r="DB124" s="1175"/>
      <c r="DC124" s="1175"/>
      <c r="DD124" s="1175"/>
      <c r="DE124" s="1175"/>
      <c r="DF124" s="1175"/>
      <c r="DG124" s="1175"/>
      <c r="DH124" s="1175"/>
      <c r="DI124" s="1175"/>
      <c r="DJ124" s="1175"/>
      <c r="DK124" s="1175"/>
      <c r="DL124" s="1175"/>
      <c r="DM124" s="1175"/>
      <c r="DN124" s="1175"/>
      <c r="DO124" s="1175"/>
      <c r="DP124" s="1175"/>
      <c r="DQ124" s="1175"/>
      <c r="DR124" s="1175"/>
      <c r="DS124" s="1175"/>
    </row>
    <row r="125" spans="5:123" s="1187" customFormat="1" ht="18" customHeight="1" x14ac:dyDescent="0.3">
      <c r="E125" s="1175"/>
      <c r="F125" s="1175"/>
      <c r="G125" s="1175"/>
      <c r="H125" s="1175"/>
      <c r="I125" s="1175"/>
      <c r="J125" s="1175"/>
      <c r="K125" s="1175"/>
      <c r="L125" s="1175"/>
      <c r="M125" s="1175"/>
      <c r="N125" s="1175"/>
      <c r="O125" s="1175"/>
      <c r="P125" s="1175"/>
      <c r="Q125" s="1175"/>
      <c r="R125" s="1175"/>
      <c r="S125" s="1175"/>
      <c r="T125" s="1175"/>
      <c r="U125" s="1175"/>
      <c r="V125" s="1175"/>
      <c r="W125" s="1175"/>
      <c r="X125" s="1175"/>
      <c r="Y125" s="1175"/>
      <c r="Z125" s="1175"/>
      <c r="AA125" s="1175"/>
      <c r="AB125" s="1175"/>
      <c r="AC125" s="1175"/>
      <c r="AD125" s="1175"/>
      <c r="AE125" s="1175"/>
      <c r="AF125" s="1175"/>
      <c r="AG125" s="1175"/>
      <c r="AH125" s="1175"/>
      <c r="AI125" s="1175"/>
      <c r="AJ125" s="1175"/>
      <c r="AK125" s="1175"/>
      <c r="AL125" s="1175"/>
      <c r="AM125" s="1175"/>
      <c r="AN125" s="1175"/>
      <c r="AO125" s="1175"/>
      <c r="AP125" s="1175"/>
      <c r="AQ125" s="1175"/>
      <c r="AR125" s="1175"/>
      <c r="AS125" s="1175"/>
      <c r="AT125" s="1175"/>
      <c r="AU125" s="1175"/>
      <c r="AV125" s="1175"/>
      <c r="AW125" s="1175"/>
      <c r="AX125" s="1175"/>
      <c r="AY125" s="1175"/>
      <c r="AZ125" s="1175"/>
      <c r="BA125" s="1175"/>
      <c r="BB125" s="1175"/>
      <c r="BC125" s="1175"/>
      <c r="BD125" s="1175"/>
      <c r="BE125" s="1175"/>
      <c r="BF125" s="1175"/>
      <c r="BG125" s="1175"/>
      <c r="BH125" s="1175"/>
      <c r="BI125" s="1175"/>
      <c r="BJ125" s="1175"/>
      <c r="BK125" s="1175"/>
      <c r="BL125" s="1175"/>
      <c r="BM125" s="1175"/>
      <c r="BN125" s="1175"/>
      <c r="BO125" s="1175"/>
      <c r="BP125" s="1175"/>
      <c r="BQ125" s="1175"/>
      <c r="BR125" s="1175"/>
      <c r="BS125" s="1175"/>
      <c r="BT125" s="1175"/>
      <c r="BU125" s="1175"/>
      <c r="BV125" s="1175"/>
      <c r="BW125" s="1175"/>
      <c r="BX125" s="1175"/>
      <c r="BY125" s="1175"/>
      <c r="BZ125" s="1175"/>
      <c r="CA125" s="1175"/>
      <c r="CB125" s="1175"/>
      <c r="CC125" s="1175"/>
      <c r="CD125" s="1175"/>
      <c r="CE125" s="1175"/>
      <c r="CF125" s="1175"/>
      <c r="CG125" s="1175"/>
      <c r="CH125" s="1175"/>
      <c r="CI125" s="1175"/>
      <c r="CJ125" s="1175"/>
      <c r="CK125" s="1175"/>
      <c r="CL125" s="1175"/>
      <c r="CM125" s="1175"/>
      <c r="CN125" s="1175"/>
      <c r="CO125" s="1175"/>
      <c r="CP125" s="1175"/>
      <c r="CQ125" s="1175"/>
      <c r="CR125" s="1175"/>
      <c r="CS125" s="1175"/>
      <c r="CT125" s="1175"/>
      <c r="CU125" s="1175"/>
      <c r="CV125" s="1175"/>
      <c r="CW125" s="1175"/>
      <c r="CX125" s="1175"/>
      <c r="CY125" s="1175"/>
      <c r="CZ125" s="1175"/>
      <c r="DA125" s="1175"/>
      <c r="DB125" s="1175"/>
      <c r="DC125" s="1175"/>
      <c r="DD125" s="1175"/>
      <c r="DE125" s="1175"/>
      <c r="DF125" s="1175"/>
      <c r="DG125" s="1175"/>
      <c r="DH125" s="1175"/>
      <c r="DI125" s="1175"/>
      <c r="DJ125" s="1175"/>
      <c r="DK125" s="1175"/>
      <c r="DL125" s="1175"/>
      <c r="DM125" s="1175"/>
      <c r="DN125" s="1175"/>
      <c r="DO125" s="1175"/>
      <c r="DP125" s="1175"/>
      <c r="DQ125" s="1175"/>
      <c r="DR125" s="1175"/>
      <c r="DS125" s="1175"/>
    </row>
    <row r="126" spans="5:123" s="1187" customFormat="1" ht="18" customHeight="1" x14ac:dyDescent="0.3">
      <c r="E126" s="1175"/>
      <c r="F126" s="1175"/>
      <c r="G126" s="1175"/>
      <c r="H126" s="1175"/>
      <c r="I126" s="1175"/>
      <c r="J126" s="1175"/>
      <c r="K126" s="1175"/>
      <c r="L126" s="1175"/>
      <c r="M126" s="1175"/>
      <c r="N126" s="1175"/>
      <c r="O126" s="1175"/>
      <c r="P126" s="1175"/>
      <c r="Q126" s="1175"/>
      <c r="R126" s="1175"/>
      <c r="S126" s="1175"/>
      <c r="T126" s="1175"/>
      <c r="U126" s="1175"/>
      <c r="V126" s="1175"/>
      <c r="W126" s="1175"/>
      <c r="X126" s="1175"/>
      <c r="Y126" s="1175"/>
      <c r="Z126" s="1175"/>
      <c r="AA126" s="1175"/>
      <c r="AB126" s="1175"/>
      <c r="AC126" s="1175"/>
      <c r="AD126" s="1175"/>
      <c r="AE126" s="1175"/>
      <c r="AF126" s="1175"/>
      <c r="AG126" s="1175"/>
      <c r="AH126" s="1175"/>
      <c r="AI126" s="1175"/>
      <c r="AJ126" s="1175"/>
      <c r="AK126" s="1175"/>
      <c r="AL126" s="1175"/>
      <c r="AM126" s="1175"/>
      <c r="AN126" s="1175"/>
      <c r="AO126" s="1175"/>
      <c r="AP126" s="1175"/>
      <c r="AQ126" s="1175"/>
      <c r="AR126" s="1175"/>
      <c r="AS126" s="1175"/>
      <c r="AT126" s="1175"/>
      <c r="AU126" s="1175"/>
      <c r="AV126" s="1175"/>
      <c r="AW126" s="1175"/>
      <c r="AX126" s="1175"/>
      <c r="AY126" s="1175"/>
      <c r="AZ126" s="1175"/>
      <c r="BA126" s="1175"/>
      <c r="BB126" s="1175"/>
      <c r="BC126" s="1175"/>
      <c r="BD126" s="1175"/>
      <c r="BE126" s="1175"/>
      <c r="BF126" s="1175"/>
      <c r="BG126" s="1175"/>
      <c r="BH126" s="1175"/>
      <c r="BI126" s="1175"/>
      <c r="BJ126" s="1175"/>
      <c r="BK126" s="1175"/>
      <c r="BL126" s="1175"/>
      <c r="BM126" s="1175"/>
      <c r="BN126" s="1175"/>
      <c r="BO126" s="1175"/>
      <c r="BP126" s="1175"/>
      <c r="BQ126" s="1175"/>
      <c r="BR126" s="1175"/>
      <c r="BS126" s="1175"/>
      <c r="BT126" s="1175"/>
      <c r="BU126" s="1175"/>
      <c r="BV126" s="1175"/>
      <c r="BW126" s="1175"/>
      <c r="BX126" s="1175"/>
      <c r="BY126" s="1175"/>
      <c r="BZ126" s="1175"/>
      <c r="CA126" s="1175"/>
      <c r="CB126" s="1175"/>
      <c r="CC126" s="1175"/>
      <c r="CD126" s="1175"/>
      <c r="CE126" s="1175"/>
      <c r="CF126" s="1175"/>
      <c r="CG126" s="1175"/>
      <c r="CH126" s="1175"/>
      <c r="CI126" s="1175"/>
      <c r="CJ126" s="1175"/>
      <c r="CK126" s="1175"/>
      <c r="CL126" s="1175"/>
      <c r="CM126" s="1175"/>
      <c r="CN126" s="1175"/>
      <c r="CO126" s="1175"/>
      <c r="CP126" s="1175"/>
      <c r="CQ126" s="1175"/>
      <c r="CR126" s="1175"/>
      <c r="CS126" s="1175"/>
      <c r="CT126" s="1175"/>
      <c r="CU126" s="1175"/>
      <c r="CV126" s="1175"/>
      <c r="CW126" s="1175"/>
      <c r="CX126" s="1175"/>
      <c r="CY126" s="1175"/>
      <c r="CZ126" s="1175"/>
      <c r="DA126" s="1175"/>
      <c r="DB126" s="1175"/>
      <c r="DC126" s="1175"/>
      <c r="DD126" s="1175"/>
      <c r="DE126" s="1175"/>
      <c r="DF126" s="1175"/>
      <c r="DG126" s="1175"/>
      <c r="DH126" s="1175"/>
      <c r="DI126" s="1175"/>
      <c r="DJ126" s="1175"/>
      <c r="DK126" s="1175"/>
      <c r="DL126" s="1175"/>
      <c r="DM126" s="1175"/>
      <c r="DN126" s="1175"/>
      <c r="DO126" s="1175"/>
      <c r="DP126" s="1175"/>
      <c r="DQ126" s="1175"/>
      <c r="DR126" s="1175"/>
      <c r="DS126" s="1175"/>
    </row>
    <row r="127" spans="5:123" s="1187" customFormat="1" ht="18" customHeight="1" x14ac:dyDescent="0.3">
      <c r="E127" s="1175"/>
      <c r="F127" s="1175"/>
      <c r="G127" s="1175"/>
      <c r="H127" s="1175"/>
      <c r="I127" s="1175"/>
      <c r="J127" s="1175"/>
      <c r="K127" s="1175"/>
      <c r="L127" s="1175"/>
      <c r="M127" s="1175"/>
      <c r="N127" s="1175"/>
      <c r="O127" s="1175"/>
      <c r="P127" s="1175"/>
      <c r="Q127" s="1175"/>
      <c r="R127" s="1175"/>
      <c r="S127" s="1175"/>
      <c r="T127" s="1175"/>
      <c r="U127" s="1175"/>
      <c r="V127" s="1175"/>
      <c r="W127" s="1175"/>
      <c r="X127" s="1175"/>
      <c r="Y127" s="1175"/>
      <c r="Z127" s="1175"/>
      <c r="AA127" s="1175"/>
      <c r="AB127" s="1175"/>
      <c r="AC127" s="1175"/>
      <c r="AD127" s="1175"/>
      <c r="AE127" s="1175"/>
      <c r="AF127" s="1175"/>
      <c r="AG127" s="1175"/>
      <c r="AH127" s="1175"/>
      <c r="AI127" s="1175"/>
      <c r="AJ127" s="1175"/>
      <c r="AK127" s="1175"/>
      <c r="AL127" s="1175"/>
      <c r="AM127" s="1175"/>
      <c r="AN127" s="1175"/>
      <c r="AO127" s="1175"/>
      <c r="AP127" s="1175"/>
      <c r="AQ127" s="1175"/>
      <c r="AR127" s="1175"/>
      <c r="AS127" s="1175"/>
      <c r="AT127" s="1175"/>
      <c r="AU127" s="1175"/>
      <c r="AV127" s="1175"/>
      <c r="AW127" s="1175"/>
      <c r="AX127" s="1175"/>
      <c r="AY127" s="1175"/>
      <c r="AZ127" s="1175"/>
      <c r="BA127" s="1175"/>
      <c r="BB127" s="1175"/>
      <c r="BC127" s="1175"/>
      <c r="BD127" s="1175"/>
      <c r="BE127" s="1175"/>
      <c r="BF127" s="1175"/>
      <c r="BG127" s="1175"/>
      <c r="BH127" s="1175"/>
      <c r="BI127" s="1175"/>
      <c r="BJ127" s="1175"/>
      <c r="BK127" s="1175"/>
      <c r="BL127" s="1175"/>
      <c r="BM127" s="1175"/>
      <c r="BN127" s="1175"/>
      <c r="BO127" s="1175"/>
      <c r="BP127" s="1175"/>
      <c r="BQ127" s="1175"/>
      <c r="BR127" s="1175"/>
      <c r="BS127" s="1175"/>
      <c r="BT127" s="1175"/>
      <c r="BU127" s="1175"/>
      <c r="BV127" s="1175"/>
      <c r="BW127" s="1175"/>
      <c r="BX127" s="1175"/>
      <c r="BY127" s="1175"/>
      <c r="BZ127" s="1175"/>
      <c r="CA127" s="1175"/>
      <c r="CB127" s="1175"/>
      <c r="CC127" s="1175"/>
      <c r="CD127" s="1175"/>
      <c r="CE127" s="1175"/>
      <c r="CF127" s="1175"/>
      <c r="CG127" s="1175"/>
      <c r="CH127" s="1175"/>
      <c r="CI127" s="1175"/>
      <c r="CJ127" s="1175"/>
      <c r="CK127" s="1175"/>
      <c r="CL127" s="1175"/>
      <c r="CM127" s="1175"/>
      <c r="CN127" s="1175"/>
      <c r="CO127" s="1175"/>
      <c r="CP127" s="1175"/>
      <c r="CQ127" s="1175"/>
      <c r="CR127" s="1175"/>
      <c r="CS127" s="1175"/>
      <c r="CT127" s="1175"/>
      <c r="CU127" s="1175"/>
      <c r="CV127" s="1175"/>
      <c r="CW127" s="1175"/>
      <c r="CX127" s="1175"/>
      <c r="CY127" s="1175"/>
      <c r="CZ127" s="1175"/>
      <c r="DA127" s="1175"/>
      <c r="DB127" s="1175"/>
      <c r="DC127" s="1175"/>
      <c r="DD127" s="1175"/>
      <c r="DE127" s="1175"/>
      <c r="DF127" s="1175"/>
      <c r="DG127" s="1175"/>
      <c r="DH127" s="1175"/>
      <c r="DI127" s="1175"/>
      <c r="DJ127" s="1175"/>
      <c r="DK127" s="1175"/>
      <c r="DL127" s="1175"/>
      <c r="DM127" s="1175"/>
      <c r="DN127" s="1175"/>
      <c r="DO127" s="1175"/>
      <c r="DP127" s="1175"/>
      <c r="DQ127" s="1175"/>
      <c r="DR127" s="1175"/>
      <c r="DS127" s="1175"/>
    </row>
    <row r="128" spans="5:123" s="1187" customFormat="1" ht="18" customHeight="1" x14ac:dyDescent="0.3">
      <c r="E128" s="1175"/>
      <c r="F128" s="1175"/>
      <c r="G128" s="1175"/>
      <c r="H128" s="1175"/>
      <c r="I128" s="1175"/>
      <c r="J128" s="1175"/>
      <c r="K128" s="1175"/>
      <c r="L128" s="1175"/>
      <c r="M128" s="1175"/>
      <c r="N128" s="1175"/>
      <c r="O128" s="1175"/>
      <c r="P128" s="1175"/>
      <c r="Q128" s="1175"/>
      <c r="R128" s="1175"/>
      <c r="S128" s="1175"/>
      <c r="T128" s="1175"/>
      <c r="U128" s="1175"/>
      <c r="V128" s="1175"/>
      <c r="W128" s="1175"/>
      <c r="X128" s="1175"/>
      <c r="Y128" s="1175"/>
      <c r="Z128" s="1175"/>
      <c r="AA128" s="1175"/>
      <c r="AB128" s="1175"/>
      <c r="AC128" s="1175"/>
      <c r="AD128" s="1175"/>
      <c r="AE128" s="1175"/>
      <c r="AF128" s="1175"/>
      <c r="AG128" s="1175"/>
      <c r="AH128" s="1175"/>
      <c r="AI128" s="1175"/>
      <c r="AJ128" s="1175"/>
      <c r="AK128" s="1175"/>
      <c r="AL128" s="1175"/>
      <c r="AM128" s="1175"/>
      <c r="AN128" s="1175"/>
      <c r="AO128" s="1175"/>
      <c r="AP128" s="1175"/>
      <c r="AQ128" s="1175"/>
      <c r="AR128" s="1175"/>
      <c r="AS128" s="1175"/>
      <c r="AT128" s="1175"/>
      <c r="AU128" s="1175"/>
      <c r="AV128" s="1175"/>
      <c r="AW128" s="1175"/>
      <c r="AX128" s="1175"/>
      <c r="AY128" s="1175"/>
      <c r="AZ128" s="1175"/>
      <c r="BA128" s="1175"/>
      <c r="BB128" s="1175"/>
      <c r="BC128" s="1175"/>
      <c r="BD128" s="1175"/>
      <c r="BE128" s="1175"/>
      <c r="BF128" s="1175"/>
      <c r="BG128" s="1175"/>
      <c r="BH128" s="1175"/>
      <c r="BI128" s="1175"/>
      <c r="BJ128" s="1175"/>
      <c r="BK128" s="1175"/>
      <c r="BL128" s="1175"/>
      <c r="BM128" s="1175"/>
      <c r="BN128" s="1175"/>
      <c r="BO128" s="1175"/>
      <c r="BP128" s="1175"/>
      <c r="BQ128" s="1175"/>
      <c r="BR128" s="1175"/>
      <c r="BS128" s="1175"/>
      <c r="BT128" s="1175"/>
      <c r="BU128" s="1175"/>
      <c r="BV128" s="1175"/>
      <c r="BW128" s="1175"/>
      <c r="BX128" s="1175"/>
      <c r="BY128" s="1175"/>
      <c r="BZ128" s="1175"/>
      <c r="CA128" s="1175"/>
      <c r="CB128" s="1175"/>
      <c r="CC128" s="1175"/>
      <c r="CD128" s="1175"/>
      <c r="CE128" s="1175"/>
      <c r="CF128" s="1175"/>
      <c r="CG128" s="1175"/>
      <c r="CH128" s="1175"/>
      <c r="CI128" s="1175"/>
      <c r="CJ128" s="1175"/>
      <c r="CK128" s="1175"/>
      <c r="CL128" s="1175"/>
      <c r="CM128" s="1175"/>
      <c r="CN128" s="1175"/>
      <c r="CO128" s="1175"/>
      <c r="CP128" s="1175"/>
      <c r="CQ128" s="1175"/>
      <c r="CR128" s="1175"/>
      <c r="CS128" s="1175"/>
      <c r="CT128" s="1175"/>
      <c r="CU128" s="1175"/>
      <c r="CV128" s="1175"/>
      <c r="CW128" s="1175"/>
      <c r="CX128" s="1175"/>
      <c r="CY128" s="1175"/>
      <c r="CZ128" s="1175"/>
      <c r="DA128" s="1175"/>
      <c r="DB128" s="1175"/>
      <c r="DC128" s="1175"/>
      <c r="DD128" s="1175"/>
      <c r="DE128" s="1175"/>
      <c r="DF128" s="1175"/>
      <c r="DG128" s="1175"/>
      <c r="DH128" s="1175"/>
      <c r="DI128" s="1175"/>
      <c r="DJ128" s="1175"/>
      <c r="DK128" s="1175"/>
      <c r="DL128" s="1175"/>
      <c r="DM128" s="1175"/>
      <c r="DN128" s="1175"/>
      <c r="DO128" s="1175"/>
      <c r="DP128" s="1175"/>
      <c r="DQ128" s="1175"/>
      <c r="DR128" s="1175"/>
      <c r="DS128" s="1175"/>
    </row>
    <row r="129" spans="5:123" s="1187" customFormat="1" ht="18" customHeight="1" x14ac:dyDescent="0.3">
      <c r="E129" s="1175"/>
      <c r="F129" s="1175"/>
      <c r="G129" s="1175"/>
      <c r="H129" s="1175"/>
      <c r="I129" s="1175"/>
      <c r="J129" s="1175"/>
      <c r="K129" s="1175"/>
      <c r="L129" s="1175"/>
      <c r="M129" s="1175"/>
      <c r="N129" s="1175"/>
      <c r="O129" s="1175"/>
      <c r="P129" s="1175"/>
      <c r="Q129" s="1175"/>
      <c r="R129" s="1175"/>
      <c r="S129" s="1175"/>
      <c r="T129" s="1175"/>
      <c r="U129" s="1175"/>
      <c r="V129" s="1175"/>
      <c r="W129" s="1175"/>
      <c r="X129" s="1175"/>
      <c r="Y129" s="1175"/>
      <c r="Z129" s="1175"/>
      <c r="AA129" s="1175"/>
      <c r="AB129" s="1175"/>
      <c r="AC129" s="1175"/>
      <c r="AD129" s="1175"/>
      <c r="AE129" s="1175"/>
      <c r="AF129" s="1175"/>
      <c r="AG129" s="1175"/>
      <c r="AH129" s="1175"/>
      <c r="AI129" s="1175"/>
      <c r="AJ129" s="1175"/>
      <c r="AK129" s="1175"/>
      <c r="AL129" s="1175"/>
      <c r="AM129" s="1175"/>
      <c r="AN129" s="1175"/>
      <c r="AO129" s="1175"/>
      <c r="AP129" s="1175"/>
      <c r="AQ129" s="1175"/>
      <c r="AR129" s="1175"/>
      <c r="AS129" s="1175"/>
      <c r="AT129" s="1175"/>
      <c r="AU129" s="1175"/>
      <c r="AV129" s="1175"/>
      <c r="AW129" s="1175"/>
      <c r="AX129" s="1175"/>
      <c r="AY129" s="1175"/>
      <c r="AZ129" s="1175"/>
      <c r="BA129" s="1175"/>
      <c r="BB129" s="1175"/>
      <c r="BC129" s="1175"/>
      <c r="BD129" s="1175"/>
      <c r="BE129" s="1175"/>
      <c r="BF129" s="1175"/>
      <c r="BG129" s="1175"/>
      <c r="BH129" s="1175"/>
      <c r="BI129" s="1175"/>
      <c r="BJ129" s="1175"/>
      <c r="BK129" s="1175"/>
      <c r="BL129" s="1175"/>
      <c r="BM129" s="1175"/>
      <c r="BN129" s="1175"/>
      <c r="BO129" s="1175"/>
      <c r="BP129" s="1175"/>
      <c r="BQ129" s="1175"/>
      <c r="BR129" s="1175"/>
      <c r="BS129" s="1175"/>
      <c r="BT129" s="1175"/>
      <c r="BU129" s="1175"/>
      <c r="BV129" s="1175"/>
      <c r="BW129" s="1175"/>
      <c r="BX129" s="1175"/>
      <c r="BY129" s="1175"/>
      <c r="BZ129" s="1175"/>
      <c r="CA129" s="1175"/>
      <c r="CB129" s="1175"/>
      <c r="CC129" s="1175"/>
      <c r="CD129" s="1175"/>
      <c r="CE129" s="1175"/>
      <c r="CF129" s="1175"/>
      <c r="CG129" s="1175"/>
      <c r="CH129" s="1175"/>
      <c r="CI129" s="1175"/>
      <c r="CJ129" s="1175"/>
      <c r="CK129" s="1175"/>
      <c r="CL129" s="1175"/>
      <c r="CM129" s="1175"/>
      <c r="CN129" s="1175"/>
      <c r="CO129" s="1175"/>
      <c r="CP129" s="1175"/>
      <c r="CQ129" s="1175"/>
      <c r="CR129" s="1175"/>
      <c r="CS129" s="1175"/>
      <c r="CT129" s="1175"/>
      <c r="CU129" s="1175"/>
      <c r="CV129" s="1175"/>
      <c r="CW129" s="1175"/>
      <c r="CX129" s="1175"/>
      <c r="CY129" s="1175"/>
      <c r="CZ129" s="1175"/>
      <c r="DA129" s="1175"/>
      <c r="DB129" s="1175"/>
      <c r="DC129" s="1175"/>
      <c r="DD129" s="1175"/>
      <c r="DE129" s="1175"/>
      <c r="DF129" s="1175"/>
      <c r="DG129" s="1175"/>
      <c r="DH129" s="1175"/>
      <c r="DI129" s="1175"/>
      <c r="DJ129" s="1175"/>
      <c r="DK129" s="1175"/>
      <c r="DL129" s="1175"/>
      <c r="DM129" s="1175"/>
      <c r="DN129" s="1175"/>
      <c r="DO129" s="1175"/>
      <c r="DP129" s="1175"/>
      <c r="DQ129" s="1175"/>
      <c r="DR129" s="1175"/>
      <c r="DS129" s="1175"/>
    </row>
    <row r="130" spans="5:123" s="1187" customFormat="1" ht="18" customHeight="1" x14ac:dyDescent="0.3">
      <c r="E130" s="1175"/>
      <c r="F130" s="1175"/>
      <c r="G130" s="1175"/>
      <c r="H130" s="1175"/>
      <c r="I130" s="1175"/>
      <c r="J130" s="1175"/>
      <c r="K130" s="1175"/>
      <c r="L130" s="1175"/>
      <c r="M130" s="1175"/>
      <c r="N130" s="1175"/>
      <c r="O130" s="1175"/>
      <c r="P130" s="1175"/>
      <c r="Q130" s="1175"/>
      <c r="R130" s="1175"/>
      <c r="S130" s="1175"/>
      <c r="T130" s="1175"/>
      <c r="U130" s="1175"/>
      <c r="V130" s="1175"/>
      <c r="W130" s="1175"/>
      <c r="X130" s="1175"/>
      <c r="Y130" s="1175"/>
      <c r="Z130" s="1175"/>
      <c r="AA130" s="1175"/>
      <c r="AB130" s="1175"/>
      <c r="AC130" s="1175"/>
      <c r="AD130" s="1175"/>
      <c r="AE130" s="1175"/>
      <c r="AF130" s="1175"/>
      <c r="AG130" s="1175"/>
      <c r="AH130" s="1175"/>
      <c r="AI130" s="1175"/>
      <c r="AJ130" s="1175"/>
      <c r="AK130" s="1175"/>
      <c r="AL130" s="1175"/>
      <c r="AM130" s="1175"/>
      <c r="AN130" s="1175"/>
      <c r="AO130" s="1175"/>
      <c r="AP130" s="1175"/>
      <c r="AQ130" s="1175"/>
      <c r="AR130" s="1175"/>
      <c r="AS130" s="1175"/>
      <c r="AT130" s="1175"/>
      <c r="AU130" s="1175"/>
      <c r="AV130" s="1175"/>
      <c r="AW130" s="1175"/>
      <c r="AX130" s="1175"/>
      <c r="AY130" s="1175"/>
      <c r="AZ130" s="1175"/>
      <c r="BA130" s="1175"/>
      <c r="BB130" s="1175"/>
      <c r="BC130" s="1175"/>
      <c r="BD130" s="1175"/>
      <c r="BE130" s="1175"/>
      <c r="BF130" s="1175"/>
      <c r="BG130" s="1175"/>
      <c r="BH130" s="1175"/>
      <c r="BI130" s="1175"/>
      <c r="BJ130" s="1175"/>
      <c r="BK130" s="1175"/>
      <c r="BL130" s="1175"/>
      <c r="BM130" s="1175"/>
      <c r="BN130" s="1175"/>
      <c r="BO130" s="1175"/>
      <c r="BP130" s="1175"/>
      <c r="BQ130" s="1175"/>
      <c r="BR130" s="1175"/>
      <c r="BS130" s="1175"/>
      <c r="BT130" s="1175"/>
      <c r="BU130" s="1175"/>
      <c r="BV130" s="1175"/>
      <c r="BW130" s="1175"/>
      <c r="BX130" s="1175"/>
      <c r="BY130" s="1175"/>
      <c r="BZ130" s="1175"/>
      <c r="CA130" s="1175"/>
      <c r="CB130" s="1175"/>
      <c r="CC130" s="1175"/>
      <c r="CD130" s="1175"/>
      <c r="CE130" s="1175"/>
      <c r="CF130" s="1175"/>
      <c r="CG130" s="1175"/>
      <c r="CH130" s="1175"/>
      <c r="CI130" s="1175"/>
      <c r="CJ130" s="1175"/>
      <c r="CK130" s="1175"/>
      <c r="CL130" s="1175"/>
      <c r="CM130" s="1175"/>
      <c r="CN130" s="1175"/>
      <c r="CO130" s="1175"/>
      <c r="CP130" s="1175"/>
      <c r="CQ130" s="1175"/>
      <c r="CR130" s="1175"/>
      <c r="CS130" s="1175"/>
      <c r="CT130" s="1175"/>
      <c r="CU130" s="1175"/>
      <c r="CV130" s="1175"/>
      <c r="CW130" s="1175"/>
      <c r="CX130" s="1175"/>
      <c r="CY130" s="1175"/>
      <c r="CZ130" s="1175"/>
      <c r="DA130" s="1175"/>
      <c r="DB130" s="1175"/>
      <c r="DC130" s="1175"/>
      <c r="DD130" s="1175"/>
      <c r="DE130" s="1175"/>
      <c r="DF130" s="1175"/>
      <c r="DG130" s="1175"/>
      <c r="DH130" s="1175"/>
      <c r="DI130" s="1175"/>
      <c r="DJ130" s="1175"/>
      <c r="DK130" s="1175"/>
      <c r="DL130" s="1175"/>
      <c r="DM130" s="1175"/>
      <c r="DN130" s="1175"/>
      <c r="DO130" s="1175"/>
      <c r="DP130" s="1175"/>
      <c r="DQ130" s="1175"/>
      <c r="DR130" s="1175"/>
      <c r="DS130" s="1175"/>
    </row>
    <row r="131" spans="5:123" s="1187" customFormat="1" ht="18" customHeight="1" x14ac:dyDescent="0.3">
      <c r="E131" s="1175"/>
      <c r="F131" s="1175"/>
      <c r="G131" s="1175"/>
      <c r="H131" s="1175"/>
      <c r="I131" s="1175"/>
      <c r="J131" s="1175"/>
      <c r="K131" s="1175"/>
      <c r="L131" s="1175"/>
      <c r="M131" s="1175"/>
      <c r="N131" s="1175"/>
      <c r="O131" s="1175"/>
      <c r="P131" s="1175"/>
      <c r="Q131" s="1175"/>
      <c r="R131" s="1175"/>
      <c r="S131" s="1175"/>
      <c r="T131" s="1175"/>
      <c r="U131" s="1175"/>
      <c r="V131" s="1175"/>
      <c r="W131" s="1175"/>
      <c r="X131" s="1175"/>
      <c r="Y131" s="1175"/>
      <c r="Z131" s="1175"/>
      <c r="AA131" s="1175"/>
      <c r="AB131" s="1175"/>
      <c r="AC131" s="1175"/>
      <c r="AD131" s="1175"/>
      <c r="AE131" s="1175"/>
      <c r="AF131" s="1175"/>
      <c r="AG131" s="1175"/>
      <c r="AH131" s="1175"/>
      <c r="AI131" s="1175"/>
      <c r="AJ131" s="1175"/>
      <c r="AK131" s="1175"/>
      <c r="AL131" s="1175"/>
      <c r="AM131" s="1175"/>
      <c r="AN131" s="1175"/>
      <c r="AO131" s="1175"/>
      <c r="AP131" s="1175"/>
      <c r="AQ131" s="1175"/>
      <c r="AR131" s="1175"/>
      <c r="AS131" s="1175"/>
      <c r="AT131" s="1175"/>
      <c r="AU131" s="1175"/>
      <c r="AV131" s="1175"/>
      <c r="AW131" s="1175"/>
      <c r="AX131" s="1175"/>
      <c r="AY131" s="1175"/>
      <c r="AZ131" s="1175"/>
      <c r="BA131" s="1175"/>
      <c r="BB131" s="1175"/>
      <c r="BC131" s="1175"/>
      <c r="BD131" s="1175"/>
      <c r="BE131" s="1175"/>
      <c r="BF131" s="1175"/>
      <c r="BG131" s="1175"/>
      <c r="BH131" s="1175"/>
      <c r="BI131" s="1175"/>
      <c r="BJ131" s="1175"/>
      <c r="BK131" s="1175"/>
      <c r="BL131" s="1175"/>
      <c r="BM131" s="1175"/>
      <c r="BN131" s="1175"/>
      <c r="BO131" s="1175"/>
      <c r="BP131" s="1175"/>
      <c r="BQ131" s="1175"/>
      <c r="BR131" s="1175"/>
      <c r="BS131" s="1175"/>
      <c r="BT131" s="1175"/>
      <c r="BU131" s="1175"/>
      <c r="BV131" s="1175"/>
      <c r="BW131" s="1175"/>
      <c r="BX131" s="1175"/>
      <c r="BY131" s="1175"/>
      <c r="BZ131" s="1175"/>
      <c r="CA131" s="1175"/>
      <c r="CB131" s="1175"/>
      <c r="CC131" s="1175"/>
      <c r="CD131" s="1175"/>
      <c r="CE131" s="1175"/>
      <c r="CF131" s="1175"/>
      <c r="CG131" s="1175"/>
      <c r="CH131" s="1175"/>
      <c r="CI131" s="1175"/>
      <c r="CJ131" s="1175"/>
      <c r="CK131" s="1175"/>
      <c r="CL131" s="1175"/>
      <c r="CM131" s="1175"/>
      <c r="CN131" s="1175"/>
      <c r="CO131" s="1175"/>
      <c r="CP131" s="1175"/>
      <c r="CQ131" s="1175"/>
      <c r="CR131" s="1175"/>
      <c r="CS131" s="1175"/>
      <c r="CT131" s="1175"/>
      <c r="CU131" s="1175"/>
      <c r="CV131" s="1175"/>
      <c r="CW131" s="1175"/>
      <c r="CX131" s="1175"/>
      <c r="CY131" s="1175"/>
      <c r="CZ131" s="1175"/>
      <c r="DA131" s="1175"/>
      <c r="DB131" s="1175"/>
      <c r="DC131" s="1175"/>
      <c r="DD131" s="1175"/>
      <c r="DE131" s="1175"/>
      <c r="DF131" s="1175"/>
      <c r="DG131" s="1175"/>
      <c r="DH131" s="1175"/>
      <c r="DI131" s="1175"/>
      <c r="DJ131" s="1175"/>
      <c r="DK131" s="1175"/>
      <c r="DL131" s="1175"/>
      <c r="DM131" s="1175"/>
      <c r="DN131" s="1175"/>
      <c r="DO131" s="1175"/>
      <c r="DP131" s="1175"/>
      <c r="DQ131" s="1175"/>
      <c r="DR131" s="1175"/>
      <c r="DS131" s="1175"/>
    </row>
    <row r="132" spans="5:123" s="1187" customFormat="1" ht="18" customHeight="1" x14ac:dyDescent="0.3">
      <c r="E132" s="1175"/>
      <c r="F132" s="1175"/>
      <c r="G132" s="1175"/>
      <c r="H132" s="1175"/>
      <c r="I132" s="1175"/>
      <c r="J132" s="1175"/>
      <c r="K132" s="1175"/>
      <c r="L132" s="1175"/>
      <c r="M132" s="1175"/>
      <c r="N132" s="1175"/>
      <c r="O132" s="1175"/>
      <c r="P132" s="1175"/>
      <c r="Q132" s="1175"/>
      <c r="R132" s="1175"/>
      <c r="S132" s="1175"/>
      <c r="T132" s="1175"/>
      <c r="U132" s="1175"/>
      <c r="V132" s="1175"/>
      <c r="W132" s="1175"/>
      <c r="X132" s="1175"/>
      <c r="Y132" s="1175"/>
      <c r="Z132" s="1175"/>
      <c r="AA132" s="1175"/>
      <c r="AB132" s="1175"/>
      <c r="AC132" s="1175"/>
      <c r="AD132" s="1175"/>
      <c r="AE132" s="1175"/>
      <c r="AF132" s="1175"/>
      <c r="AG132" s="1175"/>
      <c r="AH132" s="1175"/>
      <c r="AI132" s="1175"/>
      <c r="AJ132" s="1175"/>
      <c r="AK132" s="1175"/>
      <c r="AL132" s="1175"/>
      <c r="AM132" s="1175"/>
      <c r="AN132" s="1175"/>
      <c r="AO132" s="1175"/>
      <c r="AP132" s="1175"/>
      <c r="AQ132" s="1175"/>
      <c r="AR132" s="1175"/>
      <c r="AS132" s="1175"/>
      <c r="AT132" s="1175"/>
      <c r="AU132" s="1175"/>
      <c r="AV132" s="1175"/>
      <c r="AW132" s="1175"/>
      <c r="AX132" s="1175"/>
      <c r="AY132" s="1175"/>
      <c r="AZ132" s="1175"/>
      <c r="BA132" s="1175"/>
      <c r="BB132" s="1175"/>
      <c r="BC132" s="1175"/>
      <c r="BD132" s="1175"/>
      <c r="BE132" s="1175"/>
      <c r="BF132" s="1175"/>
      <c r="BG132" s="1175"/>
      <c r="BH132" s="1175"/>
      <c r="BI132" s="1175"/>
      <c r="BJ132" s="1175"/>
      <c r="BK132" s="1175"/>
      <c r="BL132" s="1175"/>
      <c r="BM132" s="1175"/>
      <c r="BN132" s="1175"/>
      <c r="BO132" s="1175"/>
      <c r="BP132" s="1175"/>
      <c r="BQ132" s="1175"/>
      <c r="BR132" s="1175"/>
      <c r="BS132" s="1175"/>
      <c r="BT132" s="1175"/>
      <c r="BU132" s="1175"/>
      <c r="BV132" s="1175"/>
      <c r="BW132" s="1175"/>
      <c r="BX132" s="1175"/>
      <c r="BY132" s="1175"/>
      <c r="BZ132" s="1175"/>
      <c r="CA132" s="1175"/>
      <c r="CB132" s="1175"/>
      <c r="CC132" s="1175"/>
      <c r="CD132" s="1175"/>
      <c r="CE132" s="1175"/>
      <c r="CF132" s="1175"/>
      <c r="CG132" s="1175"/>
      <c r="CH132" s="1175"/>
      <c r="CI132" s="1175"/>
      <c r="CJ132" s="1175"/>
      <c r="CK132" s="1175"/>
      <c r="CL132" s="1175"/>
      <c r="CM132" s="1175"/>
      <c r="CN132" s="1175"/>
      <c r="CO132" s="1175"/>
      <c r="CP132" s="1175"/>
      <c r="CQ132" s="1175"/>
      <c r="CR132" s="1175"/>
      <c r="CS132" s="1175"/>
      <c r="CT132" s="1175"/>
      <c r="CU132" s="1175"/>
      <c r="CV132" s="1175"/>
      <c r="CW132" s="1175"/>
      <c r="CX132" s="1175"/>
      <c r="CY132" s="1175"/>
      <c r="CZ132" s="1175"/>
      <c r="DA132" s="1175"/>
      <c r="DB132" s="1175"/>
      <c r="DC132" s="1175"/>
      <c r="DD132" s="1175"/>
      <c r="DE132" s="1175"/>
      <c r="DF132" s="1175"/>
      <c r="DG132" s="1175"/>
      <c r="DH132" s="1175"/>
      <c r="DI132" s="1175"/>
      <c r="DJ132" s="1175"/>
      <c r="DK132" s="1175"/>
      <c r="DL132" s="1175"/>
      <c r="DM132" s="1175"/>
      <c r="DN132" s="1175"/>
      <c r="DO132" s="1175"/>
      <c r="DP132" s="1175"/>
      <c r="DQ132" s="1175"/>
      <c r="DR132" s="1175"/>
      <c r="DS132" s="1175"/>
    </row>
    <row r="133" spans="5:123" s="1187" customFormat="1" ht="18" customHeight="1" x14ac:dyDescent="0.3">
      <c r="E133" s="1175"/>
      <c r="F133" s="1175"/>
      <c r="G133" s="1175"/>
      <c r="H133" s="1175"/>
      <c r="I133" s="1175"/>
      <c r="J133" s="1175"/>
      <c r="K133" s="1175"/>
      <c r="L133" s="1175"/>
      <c r="M133" s="1175"/>
      <c r="N133" s="1175"/>
      <c r="O133" s="1175"/>
      <c r="P133" s="1175"/>
      <c r="Q133" s="1175"/>
      <c r="R133" s="1175"/>
      <c r="S133" s="1175"/>
      <c r="T133" s="1175"/>
      <c r="U133" s="1175"/>
      <c r="V133" s="1175"/>
      <c r="W133" s="1175"/>
      <c r="X133" s="1175"/>
      <c r="Y133" s="1175"/>
      <c r="Z133" s="1175"/>
      <c r="AA133" s="1175"/>
      <c r="AB133" s="1175"/>
      <c r="AC133" s="1175"/>
      <c r="AD133" s="1175"/>
      <c r="AE133" s="1175"/>
      <c r="AF133" s="1175"/>
      <c r="AG133" s="1175"/>
      <c r="AH133" s="1175"/>
      <c r="AI133" s="1175"/>
      <c r="AJ133" s="1175"/>
      <c r="AK133" s="1175"/>
      <c r="AL133" s="1175"/>
      <c r="AM133" s="1175"/>
      <c r="AN133" s="1175"/>
      <c r="AO133" s="1175"/>
      <c r="AP133" s="1175"/>
      <c r="AQ133" s="1175"/>
      <c r="AR133" s="1175"/>
      <c r="AS133" s="1175"/>
      <c r="AT133" s="1175"/>
      <c r="AU133" s="1175"/>
      <c r="AV133" s="1175"/>
      <c r="AW133" s="1175"/>
      <c r="AX133" s="1175"/>
      <c r="AY133" s="1175"/>
      <c r="AZ133" s="1175"/>
      <c r="BA133" s="1175"/>
      <c r="BB133" s="1175"/>
      <c r="BC133" s="1175"/>
      <c r="BD133" s="1175"/>
      <c r="BE133" s="1175"/>
      <c r="BF133" s="1175"/>
      <c r="BG133" s="1175"/>
      <c r="BH133" s="1175"/>
      <c r="BI133" s="1175"/>
      <c r="BJ133" s="1175"/>
      <c r="BK133" s="1175"/>
      <c r="BL133" s="1175"/>
      <c r="BM133" s="1175"/>
      <c r="BN133" s="1175"/>
      <c r="BO133" s="1175"/>
      <c r="BP133" s="1175"/>
      <c r="BQ133" s="1175"/>
      <c r="BR133" s="1175"/>
      <c r="BS133" s="1175"/>
      <c r="BT133" s="1175"/>
      <c r="BU133" s="1175"/>
      <c r="BV133" s="1175"/>
      <c r="BW133" s="1175"/>
      <c r="BX133" s="1175"/>
      <c r="BY133" s="1175"/>
      <c r="BZ133" s="1175"/>
      <c r="CA133" s="1175"/>
      <c r="CB133" s="1175"/>
      <c r="CC133" s="1175"/>
      <c r="CD133" s="1175"/>
      <c r="CE133" s="1175"/>
      <c r="CF133" s="1175"/>
      <c r="CG133" s="1175"/>
      <c r="CH133" s="1175"/>
      <c r="CI133" s="1175"/>
      <c r="CJ133" s="1175"/>
      <c r="CK133" s="1175"/>
      <c r="CL133" s="1175"/>
      <c r="CM133" s="1175"/>
      <c r="CN133" s="1175"/>
      <c r="CO133" s="1175"/>
      <c r="CP133" s="1175"/>
      <c r="CQ133" s="1175"/>
      <c r="CR133" s="1175"/>
      <c r="CS133" s="1175"/>
      <c r="CT133" s="1175"/>
      <c r="CU133" s="1175"/>
      <c r="CV133" s="1175"/>
      <c r="CW133" s="1175"/>
      <c r="CX133" s="1175"/>
      <c r="CY133" s="1175"/>
      <c r="CZ133" s="1175"/>
      <c r="DA133" s="1175"/>
      <c r="DB133" s="1175"/>
      <c r="DC133" s="1175"/>
      <c r="DD133" s="1175"/>
      <c r="DE133" s="1175"/>
      <c r="DF133" s="1175"/>
      <c r="DG133" s="1175"/>
      <c r="DH133" s="1175"/>
      <c r="DI133" s="1175"/>
      <c r="DJ133" s="1175"/>
      <c r="DK133" s="1175"/>
      <c r="DL133" s="1175"/>
      <c r="DM133" s="1175"/>
      <c r="DN133" s="1175"/>
      <c r="DO133" s="1175"/>
      <c r="DP133" s="1175"/>
      <c r="DQ133" s="1175"/>
      <c r="DR133" s="1175"/>
      <c r="DS133" s="1175"/>
    </row>
    <row r="134" spans="5:123" s="1187" customFormat="1" ht="18" customHeight="1" x14ac:dyDescent="0.3">
      <c r="E134" s="1175"/>
      <c r="F134" s="1175"/>
      <c r="G134" s="1175"/>
      <c r="H134" s="1175"/>
      <c r="I134" s="1175"/>
      <c r="J134" s="1175"/>
      <c r="K134" s="1175"/>
      <c r="L134" s="1175"/>
      <c r="M134" s="1175"/>
      <c r="N134" s="1175"/>
      <c r="O134" s="1175"/>
      <c r="P134" s="1175"/>
      <c r="Q134" s="1175"/>
      <c r="R134" s="1175"/>
      <c r="S134" s="1175"/>
      <c r="T134" s="1175"/>
      <c r="U134" s="1175"/>
      <c r="V134" s="1175"/>
      <c r="W134" s="1175"/>
      <c r="X134" s="1175"/>
      <c r="Y134" s="1175"/>
      <c r="Z134" s="1175"/>
      <c r="AA134" s="1175"/>
      <c r="AB134" s="1175"/>
      <c r="AC134" s="1175"/>
      <c r="AD134" s="1175"/>
      <c r="AE134" s="1175"/>
      <c r="AF134" s="1175"/>
      <c r="AG134" s="1175"/>
      <c r="AH134" s="1175"/>
      <c r="AI134" s="1175"/>
      <c r="AJ134" s="1175"/>
      <c r="AK134" s="1175"/>
      <c r="AL134" s="1175"/>
      <c r="AM134" s="1175"/>
      <c r="AN134" s="1175"/>
      <c r="AO134" s="1175"/>
      <c r="AP134" s="1175"/>
      <c r="AQ134" s="1175"/>
      <c r="AR134" s="1175"/>
      <c r="AS134" s="1175"/>
      <c r="AT134" s="1175"/>
      <c r="AU134" s="1175"/>
      <c r="AV134" s="1175"/>
      <c r="AW134" s="1175"/>
      <c r="AX134" s="1175"/>
      <c r="AY134" s="1175"/>
      <c r="AZ134" s="1175"/>
      <c r="BA134" s="1175"/>
      <c r="BB134" s="1175"/>
      <c r="BC134" s="1175"/>
      <c r="BD134" s="1175"/>
      <c r="BE134" s="1175"/>
      <c r="BF134" s="1175"/>
      <c r="BG134" s="1175"/>
      <c r="BH134" s="1175"/>
      <c r="BI134" s="1175"/>
      <c r="BJ134" s="1175"/>
      <c r="BK134" s="1175"/>
      <c r="BL134" s="1175"/>
      <c r="BM134" s="1175"/>
      <c r="BN134" s="1175"/>
      <c r="BO134" s="1175"/>
      <c r="BP134" s="1175"/>
      <c r="BQ134" s="1175"/>
      <c r="BR134" s="1175"/>
      <c r="BS134" s="1175"/>
      <c r="BT134" s="1175"/>
      <c r="BU134" s="1175"/>
      <c r="BV134" s="1175"/>
      <c r="BW134" s="1175"/>
      <c r="BX134" s="1175"/>
      <c r="BY134" s="1175"/>
      <c r="BZ134" s="1175"/>
      <c r="CA134" s="1175"/>
      <c r="CB134" s="1175"/>
      <c r="CC134" s="1175"/>
      <c r="CD134" s="1175"/>
      <c r="CE134" s="1175"/>
      <c r="CF134" s="1175"/>
      <c r="CG134" s="1175"/>
      <c r="CH134" s="1175"/>
      <c r="CI134" s="1175"/>
      <c r="CJ134" s="1175"/>
      <c r="CK134" s="1175"/>
      <c r="CL134" s="1175"/>
      <c r="CM134" s="1175"/>
      <c r="CN134" s="1175"/>
      <c r="CO134" s="1175"/>
      <c r="CP134" s="1175"/>
      <c r="CQ134" s="1175"/>
      <c r="CR134" s="1175"/>
      <c r="CS134" s="1175"/>
      <c r="CT134" s="1175"/>
      <c r="CU134" s="1175"/>
      <c r="CV134" s="1175"/>
      <c r="CW134" s="1175"/>
      <c r="CX134" s="1175"/>
      <c r="CY134" s="1175"/>
      <c r="CZ134" s="1175"/>
      <c r="DA134" s="1175"/>
      <c r="DB134" s="1175"/>
      <c r="DC134" s="1175"/>
      <c r="DD134" s="1175"/>
      <c r="DE134" s="1175"/>
      <c r="DF134" s="1175"/>
      <c r="DG134" s="1175"/>
      <c r="DH134" s="1175"/>
      <c r="DI134" s="1175"/>
      <c r="DJ134" s="1175"/>
      <c r="DK134" s="1175"/>
      <c r="DL134" s="1175"/>
      <c r="DM134" s="1175"/>
      <c r="DN134" s="1175"/>
      <c r="DO134" s="1175"/>
      <c r="DP134" s="1175"/>
      <c r="DQ134" s="1175"/>
      <c r="DR134" s="1175"/>
      <c r="DS134" s="1175"/>
    </row>
    <row r="135" spans="5:123" s="1187" customFormat="1" ht="18" customHeight="1" x14ac:dyDescent="0.3">
      <c r="E135" s="1175"/>
      <c r="F135" s="1175"/>
      <c r="G135" s="1175"/>
      <c r="H135" s="1175"/>
      <c r="I135" s="1175"/>
      <c r="J135" s="1175"/>
      <c r="K135" s="1175"/>
      <c r="L135" s="1175"/>
      <c r="M135" s="1175"/>
      <c r="N135" s="1175"/>
      <c r="O135" s="1175"/>
      <c r="P135" s="1175"/>
      <c r="Q135" s="1175"/>
      <c r="R135" s="1175"/>
      <c r="S135" s="1175"/>
      <c r="T135" s="1175"/>
      <c r="U135" s="1175"/>
      <c r="V135" s="1175"/>
      <c r="W135" s="1175"/>
      <c r="X135" s="1175"/>
      <c r="Y135" s="1175"/>
      <c r="Z135" s="1175"/>
      <c r="AA135" s="1175"/>
      <c r="AB135" s="1175"/>
      <c r="AC135" s="1175"/>
      <c r="AD135" s="1175"/>
      <c r="AE135" s="1175"/>
      <c r="AF135" s="1175"/>
      <c r="AG135" s="1175"/>
      <c r="AH135" s="1175"/>
      <c r="AI135" s="1175"/>
      <c r="AJ135" s="1175"/>
      <c r="AK135" s="1175"/>
      <c r="AL135" s="1175"/>
      <c r="AM135" s="1175"/>
      <c r="AN135" s="1175"/>
      <c r="AO135" s="1175"/>
      <c r="AP135" s="1175"/>
      <c r="AQ135" s="1175"/>
      <c r="AR135" s="1175"/>
      <c r="AS135" s="1175"/>
      <c r="AT135" s="1175"/>
      <c r="AU135" s="1175"/>
      <c r="AV135" s="1175"/>
      <c r="AW135" s="1175"/>
      <c r="AX135" s="1175"/>
      <c r="AY135" s="1175"/>
      <c r="AZ135" s="1175"/>
      <c r="BA135" s="1175"/>
      <c r="BB135" s="1175"/>
      <c r="BC135" s="1175"/>
      <c r="BD135" s="1175"/>
      <c r="BE135" s="1175"/>
      <c r="BF135" s="1175"/>
      <c r="BG135" s="1175"/>
      <c r="BH135" s="1175"/>
      <c r="BI135" s="1175"/>
      <c r="BJ135" s="1175"/>
      <c r="BK135" s="1175"/>
      <c r="BL135" s="1175"/>
      <c r="BM135" s="1175"/>
      <c r="BN135" s="1175"/>
      <c r="BO135" s="1175"/>
      <c r="BP135" s="1175"/>
      <c r="BQ135" s="1175"/>
      <c r="BR135" s="1175"/>
      <c r="BS135" s="1175"/>
      <c r="BT135" s="1175"/>
      <c r="BU135" s="1175"/>
      <c r="BV135" s="1175"/>
      <c r="BW135" s="1175"/>
      <c r="BX135" s="1175"/>
      <c r="BY135" s="1175"/>
      <c r="BZ135" s="1175"/>
      <c r="CA135" s="1175"/>
      <c r="CB135" s="1175"/>
      <c r="CC135" s="1175"/>
      <c r="CD135" s="1175"/>
      <c r="CE135" s="1175"/>
      <c r="CF135" s="1175"/>
      <c r="CG135" s="1175"/>
      <c r="CH135" s="1175"/>
      <c r="CI135" s="1175"/>
      <c r="CJ135" s="1175"/>
      <c r="CK135" s="1175"/>
      <c r="CL135" s="1175"/>
      <c r="CM135" s="1175"/>
      <c r="CN135" s="1175"/>
      <c r="CO135" s="1175"/>
      <c r="CP135" s="1175"/>
      <c r="CQ135" s="1175"/>
      <c r="CR135" s="1175"/>
      <c r="CS135" s="1175"/>
      <c r="CT135" s="1175"/>
      <c r="CU135" s="1175"/>
      <c r="CV135" s="1175"/>
      <c r="CW135" s="1175"/>
      <c r="CX135" s="1175"/>
      <c r="CY135" s="1175"/>
      <c r="CZ135" s="1175"/>
      <c r="DA135" s="1175"/>
      <c r="DB135" s="1175"/>
      <c r="DC135" s="1175"/>
      <c r="DD135" s="1175"/>
      <c r="DE135" s="1175"/>
      <c r="DF135" s="1175"/>
      <c r="DG135" s="1175"/>
      <c r="DH135" s="1175"/>
      <c r="DI135" s="1175"/>
      <c r="DJ135" s="1175"/>
      <c r="DK135" s="1175"/>
      <c r="DL135" s="1175"/>
      <c r="DM135" s="1175"/>
      <c r="DN135" s="1175"/>
      <c r="DO135" s="1175"/>
      <c r="DP135" s="1175"/>
      <c r="DQ135" s="1175"/>
      <c r="DR135" s="1175"/>
      <c r="DS135" s="1175"/>
    </row>
    <row r="136" spans="5:123" s="1187" customFormat="1" ht="18" customHeight="1" x14ac:dyDescent="0.3">
      <c r="E136" s="1175"/>
      <c r="F136" s="1175"/>
      <c r="G136" s="1175"/>
      <c r="H136" s="1175"/>
      <c r="I136" s="1175"/>
      <c r="J136" s="1175"/>
      <c r="K136" s="1175"/>
      <c r="L136" s="1175"/>
      <c r="M136" s="1175"/>
      <c r="N136" s="1175"/>
      <c r="O136" s="1175"/>
      <c r="P136" s="1175"/>
      <c r="Q136" s="1175"/>
      <c r="R136" s="1175"/>
      <c r="S136" s="1175"/>
      <c r="T136" s="1175"/>
      <c r="U136" s="1175"/>
      <c r="V136" s="1175"/>
      <c r="W136" s="1175"/>
      <c r="X136" s="1175"/>
      <c r="Y136" s="1175"/>
      <c r="Z136" s="1175"/>
      <c r="AA136" s="1175"/>
      <c r="AB136" s="1175"/>
      <c r="AC136" s="1175"/>
      <c r="AD136" s="1175"/>
      <c r="AE136" s="1175"/>
      <c r="AF136" s="1175"/>
      <c r="AG136" s="1175"/>
      <c r="AH136" s="1175"/>
      <c r="AI136" s="1175"/>
      <c r="AJ136" s="1175"/>
      <c r="AK136" s="1175"/>
      <c r="AL136" s="1175"/>
      <c r="AM136" s="1175"/>
      <c r="AN136" s="1175"/>
      <c r="AO136" s="1175"/>
      <c r="AP136" s="1175"/>
      <c r="AQ136" s="1175"/>
      <c r="AR136" s="1175"/>
      <c r="AS136" s="1175"/>
      <c r="AT136" s="1175"/>
      <c r="AU136" s="1175"/>
      <c r="AV136" s="1175"/>
      <c r="AW136" s="1175"/>
      <c r="AX136" s="1175"/>
      <c r="AY136" s="1175"/>
      <c r="AZ136" s="1175"/>
      <c r="BA136" s="1175"/>
      <c r="BB136" s="1175"/>
      <c r="BC136" s="1175"/>
      <c r="BD136" s="1175"/>
      <c r="BE136" s="1175"/>
      <c r="BF136" s="1175"/>
      <c r="BG136" s="1175"/>
      <c r="BH136" s="1175"/>
      <c r="BI136" s="1175"/>
      <c r="BJ136" s="1175"/>
      <c r="BK136" s="1175"/>
      <c r="BL136" s="1175"/>
      <c r="BM136" s="1175"/>
      <c r="BN136" s="1175"/>
      <c r="BO136" s="1175"/>
      <c r="BP136" s="1175"/>
      <c r="BQ136" s="1175"/>
      <c r="BR136" s="1175"/>
      <c r="BS136" s="1175"/>
      <c r="BT136" s="1175"/>
      <c r="BU136" s="1175"/>
      <c r="BV136" s="1175"/>
      <c r="BW136" s="1175"/>
      <c r="BX136" s="1175"/>
      <c r="BY136" s="1175"/>
      <c r="BZ136" s="1175"/>
      <c r="CA136" s="1175"/>
      <c r="CB136" s="1175"/>
      <c r="CC136" s="1175"/>
      <c r="CD136" s="1175"/>
      <c r="CE136" s="1175"/>
      <c r="CF136" s="1175"/>
      <c r="CG136" s="1175"/>
      <c r="CH136" s="1175"/>
      <c r="CI136" s="1175"/>
      <c r="CJ136" s="1175"/>
      <c r="CK136" s="1175"/>
      <c r="CL136" s="1175"/>
      <c r="CM136" s="1175"/>
      <c r="CN136" s="1175"/>
      <c r="CO136" s="1175"/>
      <c r="CP136" s="1175"/>
      <c r="CQ136" s="1175"/>
      <c r="CR136" s="1175"/>
      <c r="CS136" s="1175"/>
      <c r="CT136" s="1175"/>
      <c r="CU136" s="1175"/>
      <c r="CV136" s="1175"/>
      <c r="CW136" s="1175"/>
      <c r="CX136" s="1175"/>
      <c r="CY136" s="1175"/>
      <c r="CZ136" s="1175"/>
      <c r="DA136" s="1175"/>
      <c r="DB136" s="1175"/>
      <c r="DC136" s="1175"/>
      <c r="DD136" s="1175"/>
      <c r="DE136" s="1175"/>
      <c r="DF136" s="1175"/>
      <c r="DG136" s="1175"/>
      <c r="DH136" s="1175"/>
      <c r="DI136" s="1175"/>
      <c r="DJ136" s="1175"/>
      <c r="DK136" s="1175"/>
      <c r="DL136" s="1175"/>
      <c r="DM136" s="1175"/>
      <c r="DN136" s="1175"/>
      <c r="DO136" s="1175"/>
      <c r="DP136" s="1175"/>
      <c r="DQ136" s="1175"/>
      <c r="DR136" s="1175"/>
      <c r="DS136" s="1175"/>
    </row>
    <row r="137" spans="5:123" s="1187" customFormat="1" ht="18" customHeight="1" x14ac:dyDescent="0.3">
      <c r="E137" s="1175"/>
      <c r="F137" s="1175"/>
      <c r="G137" s="1175"/>
      <c r="H137" s="1175"/>
      <c r="I137" s="1175"/>
      <c r="J137" s="1175"/>
      <c r="K137" s="1175"/>
      <c r="L137" s="1175"/>
      <c r="M137" s="1175"/>
      <c r="N137" s="1175"/>
      <c r="O137" s="1175"/>
      <c r="P137" s="1175"/>
      <c r="Q137" s="1175"/>
      <c r="R137" s="1175"/>
      <c r="S137" s="1175"/>
      <c r="T137" s="1175"/>
      <c r="U137" s="1175"/>
      <c r="V137" s="1175"/>
      <c r="W137" s="1175"/>
      <c r="X137" s="1175"/>
      <c r="Y137" s="1175"/>
      <c r="Z137" s="1175"/>
      <c r="AA137" s="1175"/>
      <c r="AB137" s="1175"/>
      <c r="AC137" s="1175"/>
      <c r="AD137" s="1175"/>
      <c r="AE137" s="1175"/>
      <c r="AF137" s="1175"/>
      <c r="AG137" s="1175"/>
      <c r="AH137" s="1175"/>
      <c r="AI137" s="1175"/>
      <c r="AJ137" s="1175"/>
      <c r="AK137" s="1175"/>
      <c r="AL137" s="1175"/>
      <c r="AM137" s="1175"/>
      <c r="AN137" s="1175"/>
      <c r="AO137" s="1175"/>
      <c r="AP137" s="1175"/>
      <c r="AQ137" s="1175"/>
      <c r="AR137" s="1175"/>
      <c r="AS137" s="1175"/>
      <c r="AT137" s="1175"/>
      <c r="AU137" s="1175"/>
      <c r="AV137" s="1175"/>
      <c r="AW137" s="1175"/>
      <c r="AX137" s="1175"/>
      <c r="AY137" s="1175"/>
      <c r="AZ137" s="1175"/>
      <c r="BA137" s="1175"/>
      <c r="BB137" s="1175"/>
      <c r="BC137" s="1175"/>
      <c r="BD137" s="1175"/>
      <c r="BE137" s="1175"/>
      <c r="BF137" s="1175"/>
      <c r="BG137" s="1175"/>
      <c r="BH137" s="1175"/>
      <c r="BI137" s="1175"/>
      <c r="BJ137" s="1175"/>
      <c r="BK137" s="1175"/>
      <c r="BL137" s="1175"/>
      <c r="BM137" s="1175"/>
      <c r="BN137" s="1175"/>
      <c r="BO137" s="1175"/>
      <c r="BP137" s="1175"/>
      <c r="BQ137" s="1175"/>
      <c r="BR137" s="1175"/>
      <c r="BS137" s="1175"/>
      <c r="BT137" s="1175"/>
      <c r="BU137" s="1175"/>
      <c r="BV137" s="1175"/>
      <c r="BW137" s="1175"/>
      <c r="BX137" s="1175"/>
      <c r="BY137" s="1175"/>
      <c r="BZ137" s="1175"/>
      <c r="CA137" s="1175"/>
      <c r="CB137" s="1175"/>
      <c r="CC137" s="1175"/>
      <c r="CD137" s="1175"/>
      <c r="CE137" s="1175"/>
      <c r="CF137" s="1175"/>
      <c r="CG137" s="1175"/>
      <c r="CH137" s="1175"/>
      <c r="CI137" s="1175"/>
      <c r="CJ137" s="1175"/>
      <c r="CK137" s="1175"/>
      <c r="CL137" s="1175"/>
      <c r="CM137" s="1175"/>
      <c r="CN137" s="1175"/>
      <c r="CO137" s="1175"/>
      <c r="CP137" s="1175"/>
      <c r="CQ137" s="1175"/>
      <c r="CR137" s="1175"/>
      <c r="CS137" s="1175"/>
      <c r="CT137" s="1175"/>
      <c r="CU137" s="1175"/>
      <c r="CV137" s="1175"/>
      <c r="CW137" s="1175"/>
      <c r="CX137" s="1175"/>
      <c r="CY137" s="1175"/>
      <c r="CZ137" s="1175"/>
      <c r="DA137" s="1175"/>
      <c r="DB137" s="1175"/>
      <c r="DC137" s="1175"/>
      <c r="DD137" s="1175"/>
      <c r="DE137" s="1175"/>
      <c r="DF137" s="1175"/>
      <c r="DG137" s="1175"/>
      <c r="DH137" s="1175"/>
      <c r="DI137" s="1175"/>
      <c r="DJ137" s="1175"/>
      <c r="DK137" s="1175"/>
      <c r="DL137" s="1175"/>
      <c r="DM137" s="1175"/>
      <c r="DN137" s="1175"/>
      <c r="DO137" s="1175"/>
      <c r="DP137" s="1175"/>
      <c r="DQ137" s="1175"/>
      <c r="DR137" s="1175"/>
      <c r="DS137" s="1175"/>
    </row>
    <row r="138" spans="5:123" s="1187" customFormat="1" ht="18" customHeight="1" x14ac:dyDescent="0.3">
      <c r="E138" s="1175"/>
      <c r="F138" s="1175"/>
      <c r="G138" s="1175"/>
      <c r="H138" s="1175"/>
      <c r="I138" s="1175"/>
      <c r="J138" s="1175"/>
      <c r="K138" s="1175"/>
      <c r="L138" s="1175"/>
      <c r="M138" s="1175"/>
      <c r="N138" s="1175"/>
      <c r="O138" s="1175"/>
      <c r="P138" s="1175"/>
      <c r="Q138" s="1175"/>
      <c r="R138" s="1175"/>
      <c r="S138" s="1175"/>
      <c r="T138" s="1175"/>
      <c r="U138" s="1175"/>
      <c r="V138" s="1175"/>
      <c r="W138" s="1175"/>
      <c r="X138" s="1175"/>
      <c r="Y138" s="1175"/>
      <c r="Z138" s="1175"/>
      <c r="AA138" s="1175"/>
      <c r="AB138" s="1175"/>
      <c r="AC138" s="1175"/>
      <c r="AD138" s="1175"/>
      <c r="AE138" s="1175"/>
      <c r="AF138" s="1175"/>
      <c r="AG138" s="1175"/>
      <c r="AH138" s="1175"/>
      <c r="AI138" s="1175"/>
      <c r="AJ138" s="1175"/>
      <c r="AK138" s="1175"/>
      <c r="AL138" s="1175"/>
      <c r="AM138" s="1175"/>
      <c r="AN138" s="1175"/>
      <c r="AO138" s="1175"/>
      <c r="AP138" s="1175"/>
      <c r="AQ138" s="1175"/>
      <c r="AR138" s="1175"/>
      <c r="AS138" s="1175"/>
      <c r="AT138" s="1175"/>
      <c r="AU138" s="1175"/>
      <c r="AV138" s="1175"/>
      <c r="AW138" s="1175"/>
      <c r="AX138" s="1175"/>
      <c r="AY138" s="1175"/>
      <c r="AZ138" s="1175"/>
      <c r="BA138" s="1175"/>
      <c r="BB138" s="1175"/>
      <c r="BC138" s="1175"/>
      <c r="BD138" s="1175"/>
      <c r="BE138" s="1175"/>
      <c r="BF138" s="1175"/>
      <c r="BG138" s="1175"/>
      <c r="BH138" s="1175"/>
      <c r="BI138" s="1175"/>
      <c r="BJ138" s="1175"/>
      <c r="BK138" s="1175"/>
      <c r="BL138" s="1175"/>
      <c r="BM138" s="1175"/>
      <c r="BN138" s="1175"/>
      <c r="BO138" s="1175"/>
      <c r="BP138" s="1175"/>
      <c r="BQ138" s="1175"/>
      <c r="BR138" s="1175"/>
      <c r="BS138" s="1175"/>
      <c r="BT138" s="1175"/>
      <c r="BU138" s="1175"/>
      <c r="BV138" s="1175"/>
      <c r="BW138" s="1175"/>
      <c r="BX138" s="1175"/>
      <c r="BY138" s="1175"/>
      <c r="BZ138" s="1175"/>
      <c r="CA138" s="1175"/>
      <c r="CB138" s="1175"/>
      <c r="CC138" s="1175"/>
      <c r="CD138" s="1175"/>
      <c r="CE138" s="1175"/>
      <c r="CF138" s="1175"/>
      <c r="CG138" s="1175"/>
      <c r="CH138" s="1175"/>
      <c r="CI138" s="1175"/>
      <c r="CJ138" s="1175"/>
      <c r="CK138" s="1175"/>
      <c r="CL138" s="1175"/>
      <c r="CM138" s="1175"/>
      <c r="CN138" s="1175"/>
      <c r="CO138" s="1175"/>
      <c r="CP138" s="1175"/>
      <c r="CQ138" s="1175"/>
      <c r="CR138" s="1175"/>
      <c r="CS138" s="1175"/>
      <c r="CT138" s="1175"/>
      <c r="CU138" s="1175"/>
      <c r="CV138" s="1175"/>
      <c r="CW138" s="1175"/>
      <c r="CX138" s="1175"/>
      <c r="CY138" s="1175"/>
      <c r="CZ138" s="1175"/>
      <c r="DA138" s="1175"/>
      <c r="DB138" s="1175"/>
      <c r="DC138" s="1175"/>
      <c r="DD138" s="1175"/>
      <c r="DE138" s="1175"/>
      <c r="DF138" s="1175"/>
      <c r="DG138" s="1175"/>
      <c r="DH138" s="1175"/>
      <c r="DI138" s="1175"/>
      <c r="DJ138" s="1175"/>
      <c r="DK138" s="1175"/>
      <c r="DL138" s="1175"/>
      <c r="DM138" s="1175"/>
      <c r="DN138" s="1175"/>
      <c r="DO138" s="1175"/>
      <c r="DP138" s="1175"/>
      <c r="DQ138" s="1175"/>
      <c r="DR138" s="1175"/>
      <c r="DS138" s="1175"/>
    </row>
    <row r="139" spans="5:123" s="1187" customFormat="1" ht="18" customHeight="1" x14ac:dyDescent="0.3">
      <c r="E139" s="1175"/>
      <c r="F139" s="1175"/>
      <c r="G139" s="1175"/>
      <c r="H139" s="1175"/>
      <c r="I139" s="1175"/>
      <c r="J139" s="1175"/>
      <c r="K139" s="1175"/>
      <c r="L139" s="1175"/>
      <c r="M139" s="1175"/>
      <c r="N139" s="1175"/>
      <c r="O139" s="1175"/>
      <c r="P139" s="1175"/>
      <c r="Q139" s="1175"/>
      <c r="R139" s="1175"/>
      <c r="S139" s="1175"/>
      <c r="T139" s="1175"/>
      <c r="U139" s="1175"/>
      <c r="V139" s="1175"/>
      <c r="W139" s="1175"/>
      <c r="X139" s="1175"/>
      <c r="Y139" s="1175"/>
      <c r="Z139" s="1175"/>
      <c r="AA139" s="1175"/>
      <c r="AB139" s="1175"/>
      <c r="AC139" s="1175"/>
      <c r="AD139" s="1175"/>
      <c r="AE139" s="1175"/>
      <c r="AF139" s="1175"/>
      <c r="AG139" s="1175"/>
      <c r="AH139" s="1175"/>
      <c r="AI139" s="1175"/>
      <c r="AJ139" s="1175"/>
      <c r="AK139" s="1175"/>
      <c r="AL139" s="1175"/>
      <c r="AM139" s="1175"/>
      <c r="AN139" s="1175"/>
      <c r="AO139" s="1175"/>
      <c r="AP139" s="1175"/>
      <c r="AQ139" s="1175"/>
      <c r="AR139" s="1175"/>
      <c r="AS139" s="1175"/>
      <c r="AT139" s="1175"/>
      <c r="AU139" s="1175"/>
      <c r="AV139" s="1175"/>
      <c r="AW139" s="1175"/>
      <c r="AX139" s="1175"/>
      <c r="AY139" s="1175"/>
      <c r="AZ139" s="1175"/>
      <c r="BA139" s="1175"/>
      <c r="BB139" s="1175"/>
      <c r="BC139" s="1175"/>
      <c r="BD139" s="1175"/>
      <c r="BE139" s="1175"/>
      <c r="BF139" s="1175"/>
      <c r="BG139" s="1175"/>
      <c r="BH139" s="1175"/>
      <c r="BI139" s="1175"/>
      <c r="BJ139" s="1175"/>
      <c r="BK139" s="1175"/>
      <c r="BL139" s="1175"/>
      <c r="BM139" s="1175"/>
      <c r="BN139" s="1175"/>
      <c r="BO139" s="1175"/>
      <c r="BP139" s="1175"/>
      <c r="BQ139" s="1175"/>
      <c r="BR139" s="1175"/>
      <c r="BS139" s="1175"/>
      <c r="BT139" s="1175"/>
      <c r="BU139" s="1175"/>
      <c r="BV139" s="1175"/>
      <c r="BW139" s="1175"/>
      <c r="BX139" s="1175"/>
      <c r="BY139" s="1175"/>
      <c r="BZ139" s="1175"/>
      <c r="CA139" s="1175"/>
      <c r="CB139" s="1175"/>
      <c r="CC139" s="1175"/>
      <c r="CD139" s="1175"/>
      <c r="CE139" s="1175"/>
      <c r="CF139" s="1175"/>
      <c r="CG139" s="1175"/>
      <c r="CH139" s="1175"/>
      <c r="CI139" s="1175"/>
      <c r="CJ139" s="1175"/>
      <c r="CK139" s="1175"/>
      <c r="CL139" s="1175"/>
      <c r="CM139" s="1175"/>
      <c r="CN139" s="1175"/>
      <c r="CO139" s="1175"/>
      <c r="CP139" s="1175"/>
      <c r="CQ139" s="1175"/>
      <c r="CR139" s="1175"/>
      <c r="CS139" s="1175"/>
      <c r="CT139" s="1175"/>
      <c r="CU139" s="1175"/>
      <c r="CV139" s="1175"/>
      <c r="CW139" s="1175"/>
      <c r="CX139" s="1175"/>
      <c r="CY139" s="1175"/>
      <c r="CZ139" s="1175"/>
      <c r="DA139" s="1175"/>
      <c r="DB139" s="1175"/>
      <c r="DC139" s="1175"/>
      <c r="DD139" s="1175"/>
      <c r="DE139" s="1175"/>
      <c r="DF139" s="1175"/>
      <c r="DG139" s="1175"/>
      <c r="DH139" s="1175"/>
      <c r="DI139" s="1175"/>
      <c r="DJ139" s="1175"/>
      <c r="DK139" s="1175"/>
      <c r="DL139" s="1175"/>
      <c r="DM139" s="1175"/>
      <c r="DN139" s="1175"/>
      <c r="DO139" s="1175"/>
      <c r="DP139" s="1175"/>
      <c r="DQ139" s="1175"/>
      <c r="DR139" s="1175"/>
      <c r="DS139" s="1175"/>
    </row>
    <row r="140" spans="5:123" s="1187" customFormat="1" ht="18" customHeight="1" x14ac:dyDescent="0.3">
      <c r="E140" s="1175"/>
      <c r="F140" s="1175"/>
      <c r="G140" s="1175"/>
      <c r="H140" s="1175"/>
      <c r="I140" s="1175"/>
      <c r="J140" s="1175"/>
      <c r="K140" s="1175"/>
      <c r="L140" s="1175"/>
      <c r="M140" s="1175"/>
      <c r="N140" s="1175"/>
      <c r="O140" s="1175"/>
      <c r="P140" s="1175"/>
      <c r="Q140" s="1175"/>
      <c r="R140" s="1175"/>
      <c r="S140" s="1175"/>
      <c r="T140" s="1175"/>
      <c r="U140" s="1175"/>
      <c r="V140" s="1175"/>
      <c r="W140" s="1175"/>
      <c r="X140" s="1175"/>
      <c r="Y140" s="1175"/>
      <c r="Z140" s="1175"/>
      <c r="AA140" s="1175"/>
      <c r="AB140" s="1175"/>
      <c r="AC140" s="1175"/>
      <c r="AD140" s="1175"/>
      <c r="AE140" s="1175"/>
      <c r="AF140" s="1175"/>
      <c r="AG140" s="1175"/>
      <c r="AH140" s="1175"/>
      <c r="AI140" s="1175"/>
      <c r="AJ140" s="1175"/>
      <c r="AK140" s="1175"/>
      <c r="AL140" s="1175"/>
      <c r="AM140" s="1175"/>
      <c r="AN140" s="1175"/>
      <c r="AO140" s="1175"/>
      <c r="AP140" s="1175"/>
      <c r="AQ140" s="1175"/>
      <c r="AR140" s="1175"/>
      <c r="AS140" s="1175"/>
      <c r="AT140" s="1175"/>
      <c r="AU140" s="1175"/>
      <c r="AV140" s="1175"/>
      <c r="AW140" s="1175"/>
      <c r="AX140" s="1175"/>
      <c r="AY140" s="1175"/>
      <c r="AZ140" s="1175"/>
      <c r="BA140" s="1175"/>
      <c r="BB140" s="1175"/>
      <c r="BC140" s="1175"/>
      <c r="BD140" s="1175"/>
      <c r="BE140" s="1175"/>
      <c r="BF140" s="1175"/>
      <c r="BG140" s="1175"/>
      <c r="BH140" s="1175"/>
      <c r="BI140" s="1175"/>
      <c r="BJ140" s="1175"/>
      <c r="BK140" s="1175"/>
      <c r="BL140" s="1175"/>
      <c r="BM140" s="1175"/>
      <c r="BN140" s="1175"/>
      <c r="BO140" s="1175"/>
      <c r="BP140" s="1175"/>
      <c r="BQ140" s="1175"/>
      <c r="BR140" s="1175"/>
      <c r="BS140" s="1175"/>
      <c r="BT140" s="1175"/>
      <c r="BU140" s="1175"/>
      <c r="BV140" s="1175"/>
      <c r="BW140" s="1175"/>
      <c r="BX140" s="1175"/>
      <c r="BY140" s="1175"/>
      <c r="BZ140" s="1175"/>
      <c r="CA140" s="1175"/>
      <c r="CB140" s="1175"/>
      <c r="CC140" s="1175"/>
      <c r="CD140" s="1175"/>
      <c r="CE140" s="1175"/>
      <c r="CF140" s="1175"/>
      <c r="CG140" s="1175"/>
      <c r="CH140" s="1175"/>
      <c r="CI140" s="1175"/>
      <c r="CJ140" s="1175"/>
      <c r="CK140" s="1175"/>
      <c r="CL140" s="1175"/>
      <c r="CM140" s="1175"/>
      <c r="CN140" s="1175"/>
      <c r="CO140" s="1175"/>
      <c r="CP140" s="1175"/>
      <c r="CQ140" s="1175"/>
      <c r="CR140" s="1175"/>
      <c r="CS140" s="1175"/>
      <c r="CT140" s="1175"/>
      <c r="CU140" s="1175"/>
      <c r="CV140" s="1175"/>
      <c r="CW140" s="1175"/>
      <c r="CX140" s="1175"/>
      <c r="CY140" s="1175"/>
      <c r="CZ140" s="1175"/>
      <c r="DA140" s="1175"/>
      <c r="DB140" s="1175"/>
      <c r="DC140" s="1175"/>
      <c r="DD140" s="1175"/>
      <c r="DE140" s="1175"/>
      <c r="DF140" s="1175"/>
      <c r="DG140" s="1175"/>
      <c r="DH140" s="1175"/>
      <c r="DI140" s="1175"/>
      <c r="DJ140" s="1175"/>
      <c r="DK140" s="1175"/>
      <c r="DL140" s="1175"/>
      <c r="DM140" s="1175"/>
      <c r="DN140" s="1175"/>
      <c r="DO140" s="1175"/>
      <c r="DP140" s="1175"/>
      <c r="DQ140" s="1175"/>
      <c r="DR140" s="1175"/>
      <c r="DS140" s="1175"/>
    </row>
    <row r="141" spans="5:123" s="1187" customFormat="1" ht="18" customHeight="1" x14ac:dyDescent="0.3">
      <c r="E141" s="1175"/>
      <c r="F141" s="1175"/>
      <c r="G141" s="1175"/>
      <c r="H141" s="1175"/>
      <c r="I141" s="1175"/>
      <c r="J141" s="1175"/>
      <c r="K141" s="1175"/>
      <c r="L141" s="1175"/>
      <c r="M141" s="1175"/>
      <c r="N141" s="1175"/>
      <c r="O141" s="1175"/>
      <c r="P141" s="1175"/>
      <c r="Q141" s="1175"/>
      <c r="R141" s="1175"/>
      <c r="S141" s="1175"/>
      <c r="T141" s="1175"/>
      <c r="U141" s="1175"/>
      <c r="V141" s="1175"/>
      <c r="W141" s="1175"/>
      <c r="X141" s="1175"/>
      <c r="Y141" s="1175"/>
      <c r="Z141" s="1175"/>
      <c r="AA141" s="1175"/>
      <c r="AB141" s="1175"/>
      <c r="AC141" s="1175"/>
      <c r="AD141" s="1175"/>
      <c r="AE141" s="1175"/>
      <c r="AF141" s="1175"/>
      <c r="AG141" s="1175"/>
      <c r="AH141" s="1175"/>
      <c r="AI141" s="1175"/>
      <c r="AJ141" s="1175"/>
      <c r="AK141" s="1175"/>
      <c r="AL141" s="1175"/>
      <c r="AM141" s="1175"/>
      <c r="AN141" s="1175"/>
      <c r="AO141" s="1175"/>
      <c r="AP141" s="1175"/>
      <c r="AQ141" s="1175"/>
      <c r="AR141" s="1175"/>
      <c r="AS141" s="1175"/>
      <c r="AT141" s="1175"/>
      <c r="AU141" s="1175"/>
      <c r="AV141" s="1175"/>
      <c r="AW141" s="1175"/>
      <c r="AX141" s="1175"/>
      <c r="AY141" s="1175"/>
      <c r="AZ141" s="1175"/>
      <c r="BA141" s="1175"/>
      <c r="BB141" s="1175"/>
      <c r="BC141" s="1175"/>
      <c r="BD141" s="1175"/>
      <c r="BE141" s="1175"/>
      <c r="BF141" s="1175"/>
      <c r="BG141" s="1175"/>
      <c r="BH141" s="1175"/>
      <c r="BI141" s="1175"/>
      <c r="BJ141" s="1175"/>
      <c r="BK141" s="1175"/>
      <c r="BL141" s="1175"/>
      <c r="BM141" s="1175"/>
      <c r="BN141" s="1175"/>
      <c r="BO141" s="1175"/>
      <c r="BP141" s="1175"/>
      <c r="BQ141" s="1175"/>
      <c r="BR141" s="1175"/>
      <c r="BS141" s="1175"/>
      <c r="BT141" s="1175"/>
      <c r="BU141" s="1175"/>
      <c r="BV141" s="1175"/>
      <c r="BW141" s="1175"/>
      <c r="BX141" s="1175"/>
      <c r="BY141" s="1175"/>
      <c r="BZ141" s="1175"/>
      <c r="CA141" s="1175"/>
      <c r="CB141" s="1175"/>
      <c r="CC141" s="1175"/>
      <c r="CD141" s="1175"/>
      <c r="CE141" s="1175"/>
      <c r="CF141" s="1175"/>
      <c r="CG141" s="1175"/>
      <c r="CH141" s="1175"/>
      <c r="CI141" s="1175"/>
      <c r="CJ141" s="1175"/>
      <c r="CK141" s="1175"/>
      <c r="CL141" s="1175"/>
      <c r="CM141" s="1175"/>
      <c r="CN141" s="1175"/>
      <c r="CO141" s="1175"/>
      <c r="CP141" s="1175"/>
      <c r="CQ141" s="1175"/>
      <c r="CR141" s="1175"/>
      <c r="CS141" s="1175"/>
      <c r="CT141" s="1175"/>
      <c r="CU141" s="1175"/>
      <c r="CV141" s="1175"/>
      <c r="CW141" s="1175"/>
      <c r="CX141" s="1175"/>
      <c r="CY141" s="1175"/>
      <c r="CZ141" s="1175"/>
      <c r="DA141" s="1175"/>
      <c r="DB141" s="1175"/>
      <c r="DC141" s="1175"/>
      <c r="DD141" s="1175"/>
      <c r="DE141" s="1175"/>
      <c r="DF141" s="1175"/>
      <c r="DG141" s="1175"/>
      <c r="DH141" s="1175"/>
      <c r="DI141" s="1175"/>
      <c r="DJ141" s="1175"/>
      <c r="DK141" s="1175"/>
      <c r="DL141" s="1175"/>
      <c r="DM141" s="1175"/>
      <c r="DN141" s="1175"/>
      <c r="DO141" s="1175"/>
      <c r="DP141" s="1175"/>
      <c r="DQ141" s="1175"/>
      <c r="DR141" s="1175"/>
      <c r="DS141" s="1175"/>
    </row>
    <row r="142" spans="5:123" s="1187" customFormat="1" ht="18" customHeight="1" x14ac:dyDescent="0.3">
      <c r="E142" s="1175"/>
      <c r="F142" s="1175"/>
      <c r="G142" s="1175"/>
      <c r="H142" s="1175"/>
      <c r="I142" s="1175"/>
      <c r="J142" s="1175"/>
      <c r="K142" s="1175"/>
      <c r="L142" s="1175"/>
      <c r="M142" s="1175"/>
      <c r="N142" s="1175"/>
      <c r="O142" s="1175"/>
      <c r="P142" s="1175"/>
      <c r="Q142" s="1175"/>
      <c r="R142" s="1175"/>
      <c r="S142" s="1175"/>
      <c r="T142" s="1175"/>
      <c r="U142" s="1175"/>
      <c r="V142" s="1175"/>
      <c r="W142" s="1175"/>
      <c r="X142" s="1175"/>
      <c r="Y142" s="1175"/>
      <c r="Z142" s="1175"/>
      <c r="AA142" s="1175"/>
      <c r="AB142" s="1175"/>
      <c r="AC142" s="1175"/>
      <c r="AD142" s="1175"/>
      <c r="AE142" s="1175"/>
      <c r="AF142" s="1175"/>
      <c r="AG142" s="1175"/>
      <c r="AH142" s="1175"/>
      <c r="AI142" s="1175"/>
      <c r="AJ142" s="1175"/>
      <c r="AK142" s="1175"/>
      <c r="AL142" s="1175"/>
      <c r="AM142" s="1175"/>
      <c r="AN142" s="1175"/>
      <c r="AO142" s="1175"/>
      <c r="AP142" s="1175"/>
      <c r="AQ142" s="1175"/>
      <c r="AR142" s="1175"/>
      <c r="AS142" s="1175"/>
      <c r="AT142" s="1175"/>
      <c r="AU142" s="1175"/>
      <c r="AV142" s="1175"/>
      <c r="AW142" s="1175"/>
      <c r="AX142" s="1175"/>
      <c r="AY142" s="1175"/>
      <c r="AZ142" s="1175"/>
      <c r="BA142" s="1175"/>
      <c r="BB142" s="1175"/>
      <c r="BC142" s="1175"/>
      <c r="BD142" s="1175"/>
      <c r="BE142" s="1175"/>
      <c r="BF142" s="1175"/>
      <c r="BG142" s="1175"/>
      <c r="BH142" s="1175"/>
      <c r="BI142" s="1175"/>
      <c r="BJ142" s="1175"/>
      <c r="BK142" s="1175"/>
      <c r="BL142" s="1175"/>
      <c r="BM142" s="1175"/>
      <c r="BN142" s="1175"/>
      <c r="BO142" s="1175"/>
      <c r="BP142" s="1175"/>
      <c r="BQ142" s="1175"/>
      <c r="BR142" s="1175"/>
      <c r="BS142" s="1175"/>
      <c r="BT142" s="1175"/>
      <c r="BU142" s="1175"/>
      <c r="BV142" s="1175"/>
      <c r="BW142" s="1175"/>
      <c r="BX142" s="1175"/>
      <c r="BY142" s="1175"/>
      <c r="BZ142" s="1175"/>
      <c r="CA142" s="1175"/>
      <c r="CB142" s="1175"/>
      <c r="CC142" s="1175"/>
      <c r="CD142" s="1175"/>
      <c r="CE142" s="1175"/>
      <c r="CF142" s="1175"/>
      <c r="CG142" s="1175"/>
      <c r="CH142" s="1175"/>
      <c r="CI142" s="1175"/>
      <c r="CJ142" s="1175"/>
      <c r="CK142" s="1175"/>
      <c r="CL142" s="1175"/>
      <c r="CM142" s="1175"/>
      <c r="CN142" s="1175"/>
      <c r="CO142" s="1175"/>
      <c r="CP142" s="1175"/>
      <c r="CQ142" s="1175"/>
      <c r="CR142" s="1175"/>
      <c r="CS142" s="1175"/>
      <c r="CT142" s="1175"/>
      <c r="CU142" s="1175"/>
      <c r="CV142" s="1175"/>
      <c r="CW142" s="1175"/>
      <c r="CX142" s="1175"/>
      <c r="CY142" s="1175"/>
      <c r="CZ142" s="1175"/>
      <c r="DA142" s="1175"/>
      <c r="DB142" s="1175"/>
      <c r="DC142" s="1175"/>
      <c r="DD142" s="1175"/>
      <c r="DE142" s="1175"/>
      <c r="DF142" s="1175"/>
      <c r="DG142" s="1175"/>
      <c r="DH142" s="1175"/>
      <c r="DI142" s="1175"/>
      <c r="DJ142" s="1175"/>
      <c r="DK142" s="1175"/>
      <c r="DL142" s="1175"/>
      <c r="DM142" s="1175"/>
      <c r="DN142" s="1175"/>
      <c r="DO142" s="1175"/>
      <c r="DP142" s="1175"/>
      <c r="DQ142" s="1175"/>
      <c r="DR142" s="1175"/>
      <c r="DS142" s="1175"/>
    </row>
    <row r="143" spans="5:123" s="1187" customFormat="1" ht="18" customHeight="1" x14ac:dyDescent="0.3">
      <c r="E143" s="1175"/>
      <c r="F143" s="1175"/>
      <c r="G143" s="1175"/>
      <c r="H143" s="1175"/>
      <c r="I143" s="1175"/>
      <c r="J143" s="1175"/>
      <c r="K143" s="1175"/>
      <c r="L143" s="1175"/>
      <c r="M143" s="1175"/>
      <c r="N143" s="1175"/>
      <c r="O143" s="1175"/>
      <c r="P143" s="1175"/>
      <c r="Q143" s="1175"/>
      <c r="R143" s="1175"/>
      <c r="S143" s="1175"/>
      <c r="T143" s="1175"/>
      <c r="U143" s="1175"/>
      <c r="V143" s="1175"/>
      <c r="W143" s="1175"/>
      <c r="X143" s="1175"/>
      <c r="Y143" s="1175"/>
      <c r="Z143" s="1175"/>
      <c r="AA143" s="1175"/>
      <c r="AB143" s="1175"/>
      <c r="AC143" s="1175"/>
      <c r="AD143" s="1175"/>
      <c r="AE143" s="1175"/>
      <c r="AF143" s="1175"/>
      <c r="AG143" s="1175"/>
      <c r="AH143" s="1175"/>
      <c r="AI143" s="1175"/>
      <c r="AJ143" s="1175"/>
      <c r="AK143" s="1175"/>
      <c r="AL143" s="1175"/>
      <c r="AM143" s="1175"/>
      <c r="AN143" s="1175"/>
      <c r="AO143" s="1175"/>
      <c r="AP143" s="1175"/>
      <c r="AQ143" s="1175"/>
      <c r="AR143" s="1175"/>
      <c r="AS143" s="1175"/>
      <c r="AT143" s="1175"/>
      <c r="AU143" s="1175"/>
      <c r="AV143" s="1175"/>
      <c r="AW143" s="1175"/>
      <c r="AX143" s="1175"/>
      <c r="AY143" s="1175"/>
      <c r="AZ143" s="1175"/>
      <c r="BA143" s="1175"/>
      <c r="BB143" s="1175"/>
      <c r="BC143" s="1175"/>
      <c r="BD143" s="1175"/>
      <c r="BE143" s="1175"/>
      <c r="BF143" s="1175"/>
      <c r="BG143" s="1175"/>
      <c r="BH143" s="1175"/>
      <c r="BI143" s="1175"/>
      <c r="BJ143" s="1175"/>
      <c r="BK143" s="1175"/>
      <c r="BL143" s="1175"/>
      <c r="BM143" s="1175"/>
      <c r="BN143" s="1175"/>
      <c r="BO143" s="1175"/>
      <c r="BP143" s="1175"/>
      <c r="BQ143" s="1175"/>
      <c r="BR143" s="1175"/>
      <c r="BS143" s="1175"/>
      <c r="BT143" s="1175"/>
      <c r="BU143" s="1175"/>
      <c r="BV143" s="1175"/>
      <c r="BW143" s="1175"/>
      <c r="BX143" s="1175"/>
      <c r="BY143" s="1175"/>
      <c r="BZ143" s="1175"/>
      <c r="CA143" s="1175"/>
      <c r="CB143" s="1175"/>
      <c r="CC143" s="1175"/>
      <c r="CD143" s="1175"/>
      <c r="CE143" s="1175"/>
      <c r="CF143" s="1175"/>
      <c r="CG143" s="1175"/>
      <c r="CH143" s="1175"/>
      <c r="CI143" s="1175"/>
      <c r="CJ143" s="1175"/>
      <c r="CK143" s="1175"/>
      <c r="CL143" s="1175"/>
      <c r="CM143" s="1175"/>
      <c r="CN143" s="1175"/>
      <c r="CO143" s="1175"/>
      <c r="CP143" s="1175"/>
      <c r="CQ143" s="1175"/>
      <c r="CR143" s="1175"/>
      <c r="CS143" s="1175"/>
      <c r="CT143" s="1175"/>
      <c r="CU143" s="1175"/>
      <c r="CV143" s="1175"/>
      <c r="CW143" s="1175"/>
      <c r="CX143" s="1175"/>
      <c r="CY143" s="1175"/>
      <c r="CZ143" s="1175"/>
      <c r="DA143" s="1175"/>
      <c r="DB143" s="1175"/>
      <c r="DC143" s="1175"/>
      <c r="DD143" s="1175"/>
      <c r="DE143" s="1175"/>
      <c r="DF143" s="1175"/>
      <c r="DG143" s="1175"/>
      <c r="DH143" s="1175"/>
      <c r="DI143" s="1175"/>
      <c r="DJ143" s="1175"/>
      <c r="DK143" s="1175"/>
      <c r="DL143" s="1175"/>
      <c r="DM143" s="1175"/>
      <c r="DN143" s="1175"/>
      <c r="DO143" s="1175"/>
      <c r="DP143" s="1175"/>
      <c r="DQ143" s="1175"/>
      <c r="DR143" s="1175"/>
      <c r="DS143" s="1175"/>
    </row>
    <row r="144" spans="5:123" s="1187" customFormat="1" ht="18" customHeight="1" x14ac:dyDescent="0.3">
      <c r="E144" s="1175"/>
      <c r="F144" s="1175"/>
      <c r="G144" s="1175"/>
      <c r="H144" s="1175"/>
      <c r="I144" s="1175"/>
      <c r="J144" s="1175"/>
      <c r="K144" s="1175"/>
      <c r="L144" s="1175"/>
      <c r="M144" s="1175"/>
      <c r="N144" s="1175"/>
      <c r="O144" s="1175"/>
      <c r="P144" s="1175"/>
      <c r="Q144" s="1175"/>
      <c r="R144" s="1175"/>
      <c r="S144" s="1175"/>
      <c r="T144" s="1175"/>
      <c r="U144" s="1175"/>
      <c r="V144" s="1175"/>
      <c r="W144" s="1175"/>
      <c r="X144" s="1175"/>
      <c r="Y144" s="1175"/>
      <c r="Z144" s="1175"/>
      <c r="AA144" s="1175"/>
      <c r="AB144" s="1175"/>
      <c r="AC144" s="1175"/>
      <c r="AD144" s="1175"/>
      <c r="AE144" s="1175"/>
      <c r="AF144" s="1175"/>
      <c r="AG144" s="1175"/>
      <c r="AH144" s="1175"/>
      <c r="AI144" s="1175"/>
      <c r="AJ144" s="1175"/>
      <c r="AK144" s="1175"/>
      <c r="AL144" s="1175"/>
      <c r="AM144" s="1175"/>
      <c r="AN144" s="1175"/>
      <c r="AO144" s="1175"/>
      <c r="AP144" s="1175"/>
      <c r="AQ144" s="1175"/>
      <c r="AR144" s="1175"/>
      <c r="AS144" s="1175"/>
      <c r="AT144" s="1175"/>
      <c r="AU144" s="1175"/>
      <c r="AV144" s="1175"/>
      <c r="AW144" s="1175"/>
      <c r="AX144" s="1175"/>
      <c r="AY144" s="1175"/>
      <c r="AZ144" s="1175"/>
      <c r="BA144" s="1175"/>
      <c r="BB144" s="1175"/>
      <c r="BC144" s="1175"/>
      <c r="BD144" s="1175"/>
      <c r="BE144" s="1175"/>
      <c r="BF144" s="1175"/>
      <c r="BG144" s="1175"/>
      <c r="BH144" s="1175"/>
      <c r="BI144" s="1175"/>
      <c r="BJ144" s="1175"/>
      <c r="BK144" s="1175"/>
      <c r="BL144" s="1175"/>
      <c r="BM144" s="1175"/>
      <c r="BN144" s="1175"/>
      <c r="BO144" s="1175"/>
      <c r="BP144" s="1175"/>
      <c r="BQ144" s="1175"/>
      <c r="BR144" s="1175"/>
      <c r="BS144" s="1175"/>
      <c r="BT144" s="1175"/>
      <c r="BU144" s="1175"/>
      <c r="BV144" s="1175"/>
      <c r="BW144" s="1175"/>
      <c r="BX144" s="1175"/>
      <c r="BY144" s="1175"/>
      <c r="BZ144" s="1175"/>
      <c r="CA144" s="1175"/>
      <c r="CB144" s="1175"/>
      <c r="CC144" s="1175"/>
      <c r="CD144" s="1175"/>
      <c r="CE144" s="1175"/>
      <c r="CF144" s="1175"/>
      <c r="CG144" s="1175"/>
      <c r="CH144" s="1175"/>
      <c r="CI144" s="1175"/>
      <c r="CJ144" s="1175"/>
      <c r="CK144" s="1175"/>
      <c r="CL144" s="1175"/>
      <c r="CM144" s="1175"/>
      <c r="CN144" s="1175"/>
      <c r="CO144" s="1175"/>
      <c r="CP144" s="1175"/>
      <c r="CQ144" s="1175"/>
      <c r="CR144" s="1175"/>
      <c r="CS144" s="1175"/>
      <c r="CT144" s="1175"/>
      <c r="CU144" s="1175"/>
      <c r="CV144" s="1175"/>
      <c r="CW144" s="1175"/>
      <c r="CX144" s="1175"/>
      <c r="CY144" s="1175"/>
      <c r="CZ144" s="1175"/>
      <c r="DA144" s="1175"/>
      <c r="DB144" s="1175"/>
      <c r="DC144" s="1175"/>
      <c r="DD144" s="1175"/>
      <c r="DE144" s="1175"/>
      <c r="DF144" s="1175"/>
      <c r="DG144" s="1175"/>
      <c r="DH144" s="1175"/>
      <c r="DI144" s="1175"/>
      <c r="DJ144" s="1175"/>
      <c r="DK144" s="1175"/>
      <c r="DL144" s="1175"/>
      <c r="DM144" s="1175"/>
      <c r="DN144" s="1175"/>
      <c r="DO144" s="1175"/>
      <c r="DP144" s="1175"/>
      <c r="DQ144" s="1175"/>
      <c r="DR144" s="1175"/>
      <c r="DS144" s="1175"/>
    </row>
    <row r="145" spans="5:123" s="1187" customFormat="1" ht="18" customHeight="1" x14ac:dyDescent="0.3">
      <c r="E145" s="1175"/>
      <c r="F145" s="1175"/>
      <c r="G145" s="1175"/>
      <c r="H145" s="1175"/>
      <c r="I145" s="1175"/>
      <c r="J145" s="1175"/>
      <c r="K145" s="1175"/>
      <c r="L145" s="1175"/>
      <c r="M145" s="1175"/>
      <c r="N145" s="1175"/>
      <c r="O145" s="1175"/>
      <c r="P145" s="1175"/>
      <c r="Q145" s="1175"/>
      <c r="R145" s="1175"/>
      <c r="S145" s="1175"/>
      <c r="T145" s="1175"/>
      <c r="U145" s="1175"/>
      <c r="V145" s="1175"/>
      <c r="W145" s="1175"/>
      <c r="X145" s="1175"/>
      <c r="Y145" s="1175"/>
      <c r="Z145" s="1175"/>
      <c r="AA145" s="1175"/>
      <c r="AB145" s="1175"/>
      <c r="AC145" s="1175"/>
      <c r="AD145" s="1175"/>
      <c r="AE145" s="1175"/>
      <c r="AF145" s="1175"/>
      <c r="AG145" s="1175"/>
      <c r="AH145" s="1175"/>
      <c r="AI145" s="1175"/>
      <c r="AJ145" s="1175"/>
      <c r="AK145" s="1175"/>
      <c r="AL145" s="1175"/>
      <c r="AM145" s="1175"/>
      <c r="AN145" s="1175"/>
      <c r="AO145" s="1175"/>
      <c r="AP145" s="1175"/>
      <c r="AQ145" s="1175"/>
      <c r="AR145" s="1175"/>
      <c r="AS145" s="1175"/>
      <c r="AT145" s="1175"/>
      <c r="AU145" s="1175"/>
      <c r="AV145" s="1175"/>
      <c r="AW145" s="1175"/>
      <c r="AX145" s="1175"/>
      <c r="AY145" s="1175"/>
      <c r="AZ145" s="1175"/>
      <c r="BA145" s="1175"/>
      <c r="BB145" s="1175"/>
      <c r="BC145" s="1175"/>
      <c r="BD145" s="1175"/>
      <c r="BE145" s="1175"/>
      <c r="BF145" s="1175"/>
      <c r="BG145" s="1175"/>
      <c r="BH145" s="1175"/>
      <c r="BI145" s="1175"/>
      <c r="BJ145" s="1175"/>
      <c r="BK145" s="1175"/>
      <c r="BL145" s="1175"/>
      <c r="BM145" s="1175"/>
      <c r="BN145" s="1175"/>
      <c r="BO145" s="1175"/>
      <c r="BP145" s="1175"/>
      <c r="BQ145" s="1175"/>
      <c r="BR145" s="1175"/>
      <c r="BS145" s="1175"/>
      <c r="BT145" s="1175"/>
      <c r="BU145" s="1175"/>
      <c r="BV145" s="1175"/>
      <c r="BW145" s="1175"/>
      <c r="BX145" s="1175"/>
      <c r="BY145" s="1175"/>
      <c r="BZ145" s="1175"/>
      <c r="CA145" s="1175"/>
      <c r="CB145" s="1175"/>
      <c r="CC145" s="1175"/>
      <c r="CD145" s="1175"/>
      <c r="CE145" s="1175"/>
      <c r="CF145" s="1175"/>
      <c r="CG145" s="1175"/>
      <c r="CH145" s="1175"/>
      <c r="CI145" s="1175"/>
      <c r="CJ145" s="1175"/>
      <c r="CK145" s="1175"/>
      <c r="CL145" s="1175"/>
      <c r="CM145" s="1175"/>
      <c r="CN145" s="1175"/>
      <c r="CO145" s="1175"/>
      <c r="CP145" s="1175"/>
      <c r="CQ145" s="1175"/>
      <c r="CR145" s="1175"/>
      <c r="CS145" s="1175"/>
      <c r="CT145" s="1175"/>
      <c r="CU145" s="1175"/>
      <c r="CV145" s="1175"/>
      <c r="CW145" s="1175"/>
      <c r="CX145" s="1175"/>
      <c r="CY145" s="1175"/>
      <c r="CZ145" s="1175"/>
      <c r="DA145" s="1175"/>
      <c r="DB145" s="1175"/>
      <c r="DC145" s="1175"/>
      <c r="DD145" s="1175"/>
      <c r="DE145" s="1175"/>
      <c r="DF145" s="1175"/>
      <c r="DG145" s="1175"/>
      <c r="DH145" s="1175"/>
      <c r="DI145" s="1175"/>
      <c r="DJ145" s="1175"/>
      <c r="DK145" s="1175"/>
      <c r="DL145" s="1175"/>
      <c r="DM145" s="1175"/>
      <c r="DN145" s="1175"/>
      <c r="DO145" s="1175"/>
      <c r="DP145" s="1175"/>
      <c r="DQ145" s="1175"/>
      <c r="DR145" s="1175"/>
      <c r="DS145" s="1175"/>
    </row>
    <row r="146" spans="5:123" s="1187" customFormat="1" ht="18" customHeight="1" x14ac:dyDescent="0.3">
      <c r="E146" s="1175"/>
      <c r="F146" s="1175"/>
      <c r="G146" s="1175"/>
      <c r="H146" s="1175"/>
      <c r="I146" s="1175"/>
      <c r="J146" s="1175"/>
      <c r="K146" s="1175"/>
      <c r="L146" s="1175"/>
      <c r="M146" s="1175"/>
      <c r="N146" s="1175"/>
      <c r="O146" s="1175"/>
      <c r="P146" s="1175"/>
      <c r="Q146" s="1175"/>
      <c r="R146" s="1175"/>
      <c r="S146" s="1175"/>
      <c r="T146" s="1175"/>
      <c r="U146" s="1175"/>
      <c r="V146" s="1175"/>
      <c r="W146" s="1175"/>
      <c r="X146" s="1175"/>
      <c r="Y146" s="1175"/>
      <c r="Z146" s="1175"/>
      <c r="AA146" s="1175"/>
      <c r="AB146" s="1175"/>
      <c r="AC146" s="1175"/>
      <c r="AD146" s="1175"/>
      <c r="AE146" s="1175"/>
      <c r="AF146" s="1175"/>
      <c r="AG146" s="1175"/>
      <c r="AH146" s="1175"/>
      <c r="AI146" s="1175"/>
      <c r="AJ146" s="1175"/>
      <c r="AK146" s="1175"/>
      <c r="AL146" s="1175"/>
      <c r="AM146" s="1175"/>
      <c r="AN146" s="1175"/>
      <c r="AO146" s="1175"/>
      <c r="AP146" s="1175"/>
      <c r="AQ146" s="1175"/>
      <c r="AR146" s="1175"/>
      <c r="AS146" s="1175"/>
      <c r="AT146" s="1175"/>
      <c r="AU146" s="1175"/>
      <c r="AV146" s="1175"/>
      <c r="AW146" s="1175"/>
      <c r="AX146" s="1175"/>
      <c r="AY146" s="1175"/>
      <c r="AZ146" s="1175"/>
      <c r="BA146" s="1175"/>
      <c r="BB146" s="1175"/>
      <c r="BC146" s="1175"/>
      <c r="BD146" s="1175"/>
      <c r="BE146" s="1175"/>
      <c r="BF146" s="1175"/>
      <c r="BG146" s="1175"/>
      <c r="BH146" s="1175"/>
      <c r="BI146" s="1175"/>
      <c r="BJ146" s="1175"/>
      <c r="BK146" s="1175"/>
      <c r="BL146" s="1175"/>
      <c r="BM146" s="1175"/>
      <c r="BN146" s="1175"/>
      <c r="BO146" s="1175"/>
      <c r="BP146" s="1175"/>
      <c r="BQ146" s="1175"/>
      <c r="BR146" s="1175"/>
      <c r="BS146" s="1175"/>
      <c r="BT146" s="1175"/>
      <c r="BU146" s="1175"/>
      <c r="BV146" s="1175"/>
      <c r="BW146" s="1175"/>
      <c r="BX146" s="1175"/>
      <c r="BY146" s="1175"/>
      <c r="BZ146" s="1175"/>
      <c r="CA146" s="1175"/>
      <c r="CB146" s="1175"/>
      <c r="CC146" s="1175"/>
      <c r="CD146" s="1175"/>
      <c r="CE146" s="1175"/>
      <c r="CF146" s="1175"/>
      <c r="CG146" s="1175"/>
      <c r="CH146" s="1175"/>
      <c r="CI146" s="1175"/>
      <c r="CJ146" s="1175"/>
      <c r="CK146" s="1175"/>
      <c r="CL146" s="1175"/>
      <c r="CM146" s="1175"/>
      <c r="CN146" s="1175"/>
      <c r="CO146" s="1175"/>
      <c r="CP146" s="1175"/>
      <c r="CQ146" s="1175"/>
      <c r="CR146" s="1175"/>
      <c r="CS146" s="1175"/>
      <c r="CT146" s="1175"/>
      <c r="CU146" s="1175"/>
      <c r="CV146" s="1175"/>
      <c r="CW146" s="1175"/>
      <c r="CX146" s="1175"/>
      <c r="CY146" s="1175"/>
      <c r="CZ146" s="1175"/>
      <c r="DA146" s="1175"/>
      <c r="DB146" s="1175"/>
      <c r="DC146" s="1175"/>
      <c r="DD146" s="1175"/>
      <c r="DE146" s="1175"/>
      <c r="DF146" s="1175"/>
      <c r="DG146" s="1175"/>
      <c r="DH146" s="1175"/>
      <c r="DI146" s="1175"/>
      <c r="DJ146" s="1175"/>
      <c r="DK146" s="1175"/>
      <c r="DL146" s="1175"/>
      <c r="DM146" s="1175"/>
      <c r="DN146" s="1175"/>
      <c r="DO146" s="1175"/>
      <c r="DP146" s="1175"/>
      <c r="DQ146" s="1175"/>
      <c r="DR146" s="1175"/>
      <c r="DS146" s="1175"/>
    </row>
    <row r="147" spans="5:123" s="1187" customFormat="1" ht="18" customHeight="1" x14ac:dyDescent="0.3">
      <c r="E147" s="1175"/>
      <c r="F147" s="1175"/>
      <c r="G147" s="1175"/>
      <c r="H147" s="1175"/>
      <c r="I147" s="1175"/>
      <c r="J147" s="1175"/>
      <c r="K147" s="1175"/>
      <c r="L147" s="1175"/>
      <c r="M147" s="1175"/>
      <c r="N147" s="1175"/>
      <c r="O147" s="1175"/>
      <c r="P147" s="1175"/>
      <c r="Q147" s="1175"/>
      <c r="R147" s="1175"/>
      <c r="S147" s="1175"/>
      <c r="T147" s="1175"/>
      <c r="U147" s="1175"/>
      <c r="V147" s="1175"/>
      <c r="W147" s="1175"/>
      <c r="X147" s="1175"/>
      <c r="Y147" s="1175"/>
      <c r="Z147" s="1175"/>
      <c r="AA147" s="1175"/>
      <c r="AB147" s="1175"/>
      <c r="AC147" s="1175"/>
      <c r="AD147" s="1175"/>
      <c r="AE147" s="1175"/>
      <c r="AF147" s="1175"/>
      <c r="AG147" s="1175"/>
      <c r="AH147" s="1175"/>
      <c r="AI147" s="1175"/>
      <c r="AJ147" s="1175"/>
      <c r="AK147" s="1175"/>
      <c r="AL147" s="1175"/>
      <c r="AM147" s="1175"/>
      <c r="AN147" s="1175"/>
      <c r="AO147" s="1175"/>
      <c r="AP147" s="1175"/>
      <c r="AQ147" s="1175"/>
      <c r="AR147" s="1175"/>
      <c r="AS147" s="1175"/>
      <c r="AT147" s="1175"/>
      <c r="AU147" s="1175"/>
      <c r="AV147" s="1175"/>
      <c r="AW147" s="1175"/>
      <c r="AX147" s="1175"/>
      <c r="AY147" s="1175"/>
      <c r="AZ147" s="1175"/>
      <c r="BA147" s="1175"/>
      <c r="BB147" s="1175"/>
      <c r="BC147" s="1175"/>
      <c r="BD147" s="1175"/>
      <c r="BE147" s="1175"/>
      <c r="BF147" s="1175"/>
      <c r="BG147" s="1175"/>
      <c r="BH147" s="1175"/>
      <c r="BI147" s="1175"/>
      <c r="BJ147" s="1175"/>
      <c r="BK147" s="1175"/>
      <c r="BL147" s="1175"/>
      <c r="BM147" s="1175"/>
      <c r="BN147" s="1175"/>
      <c r="BO147" s="1175"/>
      <c r="BP147" s="1175"/>
      <c r="BQ147" s="1175"/>
      <c r="BR147" s="1175"/>
      <c r="BS147" s="1175"/>
      <c r="BT147" s="1175"/>
      <c r="BU147" s="1175"/>
      <c r="BV147" s="1175"/>
      <c r="BW147" s="1175"/>
      <c r="BX147" s="1175"/>
      <c r="BY147" s="1175"/>
      <c r="BZ147" s="1175"/>
      <c r="CA147" s="1175"/>
      <c r="CB147" s="1175"/>
      <c r="CC147" s="1175"/>
      <c r="CD147" s="1175"/>
      <c r="CE147" s="1175"/>
      <c r="CF147" s="1175"/>
      <c r="CG147" s="1175"/>
      <c r="CH147" s="1175"/>
      <c r="CI147" s="1175"/>
      <c r="CJ147" s="1175"/>
      <c r="CK147" s="1175"/>
      <c r="CL147" s="1175"/>
      <c r="CM147" s="1175"/>
      <c r="CN147" s="1175"/>
      <c r="CO147" s="1175"/>
      <c r="CP147" s="1175"/>
      <c r="CQ147" s="1175"/>
      <c r="CR147" s="1175"/>
      <c r="CS147" s="1175"/>
      <c r="CT147" s="1175"/>
      <c r="CU147" s="1175"/>
      <c r="CV147" s="1175"/>
      <c r="CW147" s="1175"/>
      <c r="CX147" s="1175"/>
      <c r="CY147" s="1175"/>
      <c r="CZ147" s="1175"/>
      <c r="DA147" s="1175"/>
      <c r="DB147" s="1175"/>
      <c r="DC147" s="1175"/>
      <c r="DD147" s="1175"/>
      <c r="DE147" s="1175"/>
      <c r="DF147" s="1175"/>
      <c r="DG147" s="1175"/>
      <c r="DH147" s="1175"/>
      <c r="DI147" s="1175"/>
      <c r="DJ147" s="1175"/>
      <c r="DK147" s="1175"/>
      <c r="DL147" s="1175"/>
      <c r="DM147" s="1175"/>
      <c r="DN147" s="1175"/>
      <c r="DO147" s="1175"/>
      <c r="DP147" s="1175"/>
      <c r="DQ147" s="1175"/>
      <c r="DR147" s="1175"/>
      <c r="DS147" s="1175"/>
    </row>
    <row r="148" spans="5:123" s="1187" customFormat="1" ht="18" customHeight="1" x14ac:dyDescent="0.3">
      <c r="E148" s="1175"/>
      <c r="F148" s="1175"/>
      <c r="G148" s="1175"/>
      <c r="H148" s="1175"/>
      <c r="I148" s="1175"/>
      <c r="J148" s="1175"/>
      <c r="K148" s="1175"/>
      <c r="L148" s="1175"/>
      <c r="M148" s="1175"/>
      <c r="N148" s="1175"/>
      <c r="O148" s="1175"/>
      <c r="P148" s="1175"/>
      <c r="Q148" s="1175"/>
      <c r="R148" s="1175"/>
      <c r="S148" s="1175"/>
      <c r="T148" s="1175"/>
      <c r="U148" s="1175"/>
      <c r="V148" s="1175"/>
      <c r="W148" s="1175"/>
      <c r="X148" s="1175"/>
      <c r="Y148" s="1175"/>
      <c r="Z148" s="1175"/>
      <c r="AA148" s="1175"/>
      <c r="AB148" s="1175"/>
      <c r="AC148" s="1175"/>
      <c r="AD148" s="1175"/>
      <c r="AE148" s="1175"/>
      <c r="AF148" s="1175"/>
      <c r="AG148" s="1175"/>
      <c r="AH148" s="1175"/>
      <c r="AI148" s="1175"/>
      <c r="AJ148" s="1175"/>
      <c r="AK148" s="1175"/>
      <c r="AL148" s="1175"/>
      <c r="AM148" s="1175"/>
      <c r="AN148" s="1175"/>
      <c r="AO148" s="1175"/>
      <c r="AP148" s="1175"/>
      <c r="AQ148" s="1175"/>
      <c r="AR148" s="1175"/>
      <c r="AS148" s="1175"/>
      <c r="AT148" s="1175"/>
      <c r="AU148" s="1175"/>
      <c r="AV148" s="1175"/>
      <c r="AW148" s="1175"/>
      <c r="AX148" s="1175"/>
      <c r="AY148" s="1175"/>
      <c r="AZ148" s="1175"/>
      <c r="BA148" s="1175"/>
      <c r="BB148" s="1175"/>
      <c r="BC148" s="1175"/>
      <c r="BD148" s="1175"/>
      <c r="BE148" s="1175"/>
      <c r="BF148" s="1175"/>
      <c r="BG148" s="1175"/>
      <c r="BH148" s="1175"/>
      <c r="BI148" s="1175"/>
      <c r="BJ148" s="1175"/>
      <c r="BK148" s="1175"/>
      <c r="BL148" s="1175"/>
      <c r="BM148" s="1175"/>
      <c r="BN148" s="1175"/>
      <c r="BO148" s="1175"/>
      <c r="BP148" s="1175"/>
      <c r="BQ148" s="1175"/>
      <c r="BR148" s="1175"/>
      <c r="BS148" s="1175"/>
      <c r="BT148" s="1175"/>
      <c r="BU148" s="1175"/>
      <c r="BV148" s="1175"/>
      <c r="BW148" s="1175"/>
      <c r="BX148" s="1175"/>
      <c r="BY148" s="1175"/>
      <c r="BZ148" s="1175"/>
      <c r="CA148" s="1175"/>
      <c r="CB148" s="1175"/>
      <c r="CC148" s="1175"/>
      <c r="CD148" s="1175"/>
      <c r="CE148" s="1175"/>
      <c r="CF148" s="1175"/>
      <c r="CG148" s="1175"/>
      <c r="CH148" s="1175"/>
      <c r="CI148" s="1175"/>
      <c r="CJ148" s="1175"/>
      <c r="CK148" s="1175"/>
      <c r="CL148" s="1175"/>
      <c r="CM148" s="1175"/>
      <c r="CN148" s="1175"/>
      <c r="CO148" s="1175"/>
      <c r="CP148" s="1175"/>
      <c r="CQ148" s="1175"/>
      <c r="CR148" s="1175"/>
      <c r="CS148" s="1175"/>
      <c r="CT148" s="1175"/>
      <c r="CU148" s="1175"/>
      <c r="CV148" s="1175"/>
      <c r="CW148" s="1175"/>
      <c r="CX148" s="1175"/>
      <c r="CY148" s="1175"/>
      <c r="CZ148" s="1175"/>
      <c r="DA148" s="1175"/>
      <c r="DB148" s="1175"/>
      <c r="DC148" s="1175"/>
      <c r="DD148" s="1175"/>
      <c r="DE148" s="1175"/>
      <c r="DF148" s="1175"/>
      <c r="DG148" s="1175"/>
      <c r="DH148" s="1175"/>
      <c r="DI148" s="1175"/>
      <c r="DJ148" s="1175"/>
      <c r="DK148" s="1175"/>
      <c r="DL148" s="1175"/>
      <c r="DM148" s="1175"/>
      <c r="DN148" s="1175"/>
      <c r="DO148" s="1175"/>
      <c r="DP148" s="1175"/>
      <c r="DQ148" s="1175"/>
      <c r="DR148" s="1175"/>
      <c r="DS148" s="1175"/>
    </row>
    <row r="149" spans="5:123" s="1187" customFormat="1" ht="18" customHeight="1" x14ac:dyDescent="0.3">
      <c r="E149" s="1175"/>
      <c r="F149" s="1175"/>
      <c r="G149" s="1175"/>
      <c r="H149" s="1175"/>
      <c r="I149" s="1175"/>
      <c r="J149" s="1175"/>
      <c r="K149" s="1175"/>
      <c r="L149" s="1175"/>
      <c r="M149" s="1175"/>
      <c r="N149" s="1175"/>
      <c r="O149" s="1175"/>
      <c r="P149" s="1175"/>
      <c r="Q149" s="1175"/>
      <c r="R149" s="1175"/>
      <c r="S149" s="1175"/>
      <c r="T149" s="1175"/>
      <c r="U149" s="1175"/>
      <c r="V149" s="1175"/>
      <c r="W149" s="1175"/>
      <c r="X149" s="1175"/>
      <c r="Y149" s="1175"/>
      <c r="Z149" s="1175"/>
      <c r="AA149" s="1175"/>
      <c r="AB149" s="1175"/>
      <c r="AC149" s="1175"/>
      <c r="AD149" s="1175"/>
      <c r="AE149" s="1175"/>
      <c r="AF149" s="1175"/>
      <c r="AG149" s="1175"/>
      <c r="AH149" s="1175"/>
      <c r="AI149" s="1175"/>
      <c r="AJ149" s="1175"/>
      <c r="AK149" s="1175"/>
      <c r="AL149" s="1175"/>
      <c r="AM149" s="1175"/>
      <c r="AN149" s="1175"/>
      <c r="AO149" s="1175"/>
      <c r="AP149" s="1175"/>
      <c r="AQ149" s="1175"/>
      <c r="AR149" s="1175"/>
      <c r="AS149" s="1175"/>
      <c r="AT149" s="1175"/>
      <c r="AU149" s="1175"/>
      <c r="AV149" s="1175"/>
      <c r="AW149" s="1175"/>
      <c r="AX149" s="1175"/>
      <c r="AY149" s="1175"/>
      <c r="AZ149" s="1175"/>
      <c r="BA149" s="1175"/>
      <c r="BB149" s="1175"/>
      <c r="BC149" s="1175"/>
      <c r="BD149" s="1175"/>
      <c r="BE149" s="1175"/>
      <c r="BF149" s="1175"/>
      <c r="BG149" s="1175"/>
      <c r="BH149" s="1175"/>
      <c r="BI149" s="1175"/>
      <c r="BJ149" s="1175"/>
      <c r="BK149" s="1175"/>
      <c r="BL149" s="1175"/>
      <c r="BM149" s="1175"/>
      <c r="BN149" s="1175"/>
      <c r="BO149" s="1175"/>
      <c r="BP149" s="1175"/>
      <c r="BQ149" s="1175"/>
      <c r="BR149" s="1175"/>
      <c r="BS149" s="1175"/>
      <c r="BT149" s="1175"/>
      <c r="BU149" s="1175"/>
      <c r="BV149" s="1175"/>
      <c r="BW149" s="1175"/>
      <c r="BX149" s="1175"/>
      <c r="BY149" s="1175"/>
      <c r="BZ149" s="1175"/>
      <c r="CA149" s="1175"/>
      <c r="CB149" s="1175"/>
      <c r="CC149" s="1175"/>
      <c r="CD149" s="1175"/>
      <c r="CE149" s="1175"/>
      <c r="CF149" s="1175"/>
      <c r="CG149" s="1175"/>
      <c r="CH149" s="1175"/>
      <c r="CI149" s="1175"/>
      <c r="CJ149" s="1175"/>
      <c r="CK149" s="1175"/>
      <c r="CL149" s="1175"/>
      <c r="CM149" s="1175"/>
      <c r="CN149" s="1175"/>
      <c r="CO149" s="1175"/>
      <c r="CP149" s="1175"/>
      <c r="CQ149" s="1175"/>
      <c r="CR149" s="1175"/>
      <c r="CS149" s="1175"/>
      <c r="CT149" s="1175"/>
      <c r="CU149" s="1175"/>
      <c r="CV149" s="1175"/>
      <c r="CW149" s="1175"/>
      <c r="CX149" s="1175"/>
      <c r="CY149" s="1175"/>
      <c r="CZ149" s="1175"/>
      <c r="DA149" s="1175"/>
      <c r="DB149" s="1175"/>
      <c r="DC149" s="1175"/>
      <c r="DD149" s="1175"/>
      <c r="DE149" s="1175"/>
      <c r="DF149" s="1175"/>
      <c r="DG149" s="1175"/>
      <c r="DH149" s="1175"/>
      <c r="DI149" s="1175"/>
      <c r="DJ149" s="1175"/>
      <c r="DK149" s="1175"/>
      <c r="DL149" s="1175"/>
      <c r="DM149" s="1175"/>
      <c r="DN149" s="1175"/>
      <c r="DO149" s="1175"/>
      <c r="DP149" s="1175"/>
      <c r="DQ149" s="1175"/>
      <c r="DR149" s="1175"/>
      <c r="DS149" s="1175"/>
    </row>
    <row r="150" spans="5:123" s="1187" customFormat="1" ht="18" customHeight="1" x14ac:dyDescent="0.3">
      <c r="E150" s="1175"/>
      <c r="F150" s="1175"/>
      <c r="G150" s="1175"/>
      <c r="H150" s="1175"/>
      <c r="I150" s="1175"/>
      <c r="J150" s="1175"/>
      <c r="K150" s="1175"/>
      <c r="L150" s="1175"/>
      <c r="M150" s="1175"/>
      <c r="N150" s="1175"/>
      <c r="O150" s="1175"/>
      <c r="P150" s="1175"/>
      <c r="Q150" s="1175"/>
      <c r="R150" s="1175"/>
      <c r="S150" s="1175"/>
      <c r="T150" s="1175"/>
      <c r="U150" s="1175"/>
      <c r="V150" s="1175"/>
      <c r="W150" s="1175"/>
      <c r="X150" s="1175"/>
      <c r="Y150" s="1175"/>
      <c r="Z150" s="1175"/>
      <c r="AA150" s="1175"/>
      <c r="AB150" s="1175"/>
      <c r="AC150" s="1175"/>
      <c r="AD150" s="1175"/>
      <c r="AE150" s="1175"/>
      <c r="AF150" s="1175"/>
      <c r="AG150" s="1175"/>
      <c r="AH150" s="1175"/>
      <c r="AI150" s="1175"/>
      <c r="AJ150" s="1175"/>
      <c r="AK150" s="1175"/>
      <c r="AL150" s="1175"/>
      <c r="AM150" s="1175"/>
      <c r="AN150" s="1175"/>
      <c r="AO150" s="1175"/>
      <c r="AP150" s="1175"/>
      <c r="AQ150" s="1175"/>
      <c r="AR150" s="1175"/>
      <c r="AS150" s="1175"/>
      <c r="AT150" s="1175"/>
      <c r="AU150" s="1175"/>
      <c r="AV150" s="1175"/>
      <c r="AW150" s="1175"/>
      <c r="AX150" s="1175"/>
      <c r="AY150" s="1175"/>
      <c r="AZ150" s="1175"/>
      <c r="BA150" s="1175"/>
      <c r="BB150" s="1175"/>
      <c r="BC150" s="1175"/>
      <c r="BD150" s="1175"/>
      <c r="BE150" s="1175"/>
      <c r="BF150" s="1175"/>
      <c r="BG150" s="1175"/>
      <c r="BH150" s="1175"/>
      <c r="BI150" s="1175"/>
      <c r="BJ150" s="1175"/>
      <c r="BK150" s="1175"/>
      <c r="BL150" s="1175"/>
      <c r="BM150" s="1175"/>
      <c r="BN150" s="1175"/>
      <c r="BO150" s="1175"/>
      <c r="BP150" s="1175"/>
      <c r="BQ150" s="1175"/>
      <c r="BR150" s="1175"/>
      <c r="BS150" s="1175"/>
      <c r="BT150" s="1175"/>
      <c r="BU150" s="1175"/>
      <c r="BV150" s="1175"/>
      <c r="BW150" s="1175"/>
      <c r="BX150" s="1175"/>
      <c r="BY150" s="1175"/>
      <c r="BZ150" s="1175"/>
      <c r="CA150" s="1175"/>
      <c r="CB150" s="1175"/>
      <c r="CC150" s="1175"/>
      <c r="CD150" s="1175"/>
      <c r="CE150" s="1175"/>
      <c r="CF150" s="1175"/>
      <c r="CG150" s="1175"/>
      <c r="CH150" s="1175"/>
      <c r="CI150" s="1175"/>
      <c r="CJ150" s="1175"/>
      <c r="CK150" s="1175"/>
      <c r="CL150" s="1175"/>
      <c r="CM150" s="1175"/>
      <c r="CN150" s="1175"/>
      <c r="CO150" s="1175"/>
      <c r="CP150" s="1175"/>
      <c r="CQ150" s="1175"/>
      <c r="CR150" s="1175"/>
      <c r="CS150" s="1175"/>
      <c r="CT150" s="1175"/>
      <c r="CU150" s="1175"/>
      <c r="CV150" s="1175"/>
      <c r="CW150" s="1175"/>
      <c r="CX150" s="1175"/>
      <c r="CY150" s="1175"/>
      <c r="CZ150" s="1175"/>
      <c r="DA150" s="1175"/>
      <c r="DB150" s="1175"/>
      <c r="DC150" s="1175"/>
      <c r="DD150" s="1175"/>
      <c r="DE150" s="1175"/>
      <c r="DF150" s="1175"/>
      <c r="DG150" s="1175"/>
      <c r="DH150" s="1175"/>
      <c r="DI150" s="1175"/>
      <c r="DJ150" s="1175"/>
      <c r="DK150" s="1175"/>
      <c r="DL150" s="1175"/>
      <c r="DM150" s="1175"/>
      <c r="DN150" s="1175"/>
      <c r="DO150" s="1175"/>
      <c r="DP150" s="1175"/>
      <c r="DQ150" s="1175"/>
      <c r="DR150" s="1175"/>
      <c r="DS150" s="1175"/>
    </row>
    <row r="151" spans="5:123" s="1187" customFormat="1" ht="18" customHeight="1" x14ac:dyDescent="0.3">
      <c r="E151" s="1175"/>
      <c r="F151" s="1175"/>
      <c r="G151" s="1175"/>
      <c r="H151" s="1175"/>
      <c r="I151" s="1175"/>
      <c r="J151" s="1175"/>
      <c r="K151" s="1175"/>
      <c r="L151" s="1175"/>
      <c r="M151" s="1175"/>
      <c r="N151" s="1175"/>
      <c r="O151" s="1175"/>
      <c r="P151" s="1175"/>
      <c r="Q151" s="1175"/>
      <c r="R151" s="1175"/>
      <c r="S151" s="1175"/>
      <c r="T151" s="1175"/>
      <c r="U151" s="1175"/>
      <c r="V151" s="1175"/>
      <c r="W151" s="1175"/>
      <c r="X151" s="1175"/>
      <c r="Y151" s="1175"/>
      <c r="Z151" s="1175"/>
      <c r="AA151" s="1175"/>
      <c r="AB151" s="1175"/>
      <c r="AC151" s="1175"/>
      <c r="AD151" s="1175"/>
      <c r="AE151" s="1175"/>
      <c r="AF151" s="1175"/>
      <c r="AG151" s="1175"/>
      <c r="AH151" s="1175"/>
      <c r="AI151" s="1175"/>
      <c r="AJ151" s="1175"/>
      <c r="AK151" s="1175"/>
      <c r="AL151" s="1175"/>
      <c r="AM151" s="1175"/>
      <c r="AN151" s="1175"/>
      <c r="AO151" s="1175"/>
      <c r="AP151" s="1175"/>
      <c r="AQ151" s="1175"/>
      <c r="AR151" s="1175"/>
      <c r="AS151" s="1175"/>
      <c r="AT151" s="1175"/>
      <c r="AU151" s="1175"/>
      <c r="AV151" s="1175"/>
      <c r="AW151" s="1175"/>
      <c r="AX151" s="1175"/>
      <c r="AY151" s="1175"/>
      <c r="AZ151" s="1175"/>
      <c r="BA151" s="1175"/>
      <c r="BB151" s="1175"/>
      <c r="BC151" s="1175"/>
      <c r="BD151" s="1175"/>
      <c r="BE151" s="1175"/>
      <c r="BF151" s="1175"/>
      <c r="BG151" s="1175"/>
      <c r="BH151" s="1175"/>
      <c r="BI151" s="1175"/>
      <c r="BJ151" s="1175"/>
      <c r="BK151" s="1175"/>
      <c r="BL151" s="1175"/>
      <c r="BM151" s="1175"/>
      <c r="BN151" s="1175"/>
      <c r="BO151" s="1175"/>
      <c r="BP151" s="1175"/>
      <c r="BQ151" s="1175"/>
      <c r="BR151" s="1175"/>
      <c r="BS151" s="1175"/>
      <c r="BT151" s="1175"/>
      <c r="BU151" s="1175"/>
      <c r="BV151" s="1175"/>
      <c r="BW151" s="1175"/>
      <c r="BX151" s="1175"/>
      <c r="BY151" s="1175"/>
      <c r="BZ151" s="1175"/>
      <c r="CA151" s="1175"/>
      <c r="CB151" s="1175"/>
      <c r="CC151" s="1175"/>
      <c r="CD151" s="1175"/>
      <c r="CE151" s="1175"/>
      <c r="CF151" s="1175"/>
      <c r="CG151" s="1175"/>
      <c r="CH151" s="1175"/>
      <c r="CI151" s="1175"/>
      <c r="CJ151" s="1175"/>
      <c r="CK151" s="1175"/>
      <c r="CL151" s="1175"/>
      <c r="CM151" s="1175"/>
      <c r="CN151" s="1175"/>
      <c r="CO151" s="1175"/>
      <c r="CP151" s="1175"/>
      <c r="CQ151" s="1175"/>
      <c r="CR151" s="1175"/>
      <c r="CS151" s="1175"/>
      <c r="CT151" s="1175"/>
      <c r="CU151" s="1175"/>
      <c r="CV151" s="1175"/>
      <c r="CW151" s="1175"/>
      <c r="CX151" s="1175"/>
      <c r="CY151" s="1175"/>
      <c r="CZ151" s="1175"/>
      <c r="DA151" s="1175"/>
      <c r="DB151" s="1175"/>
      <c r="DC151" s="1175"/>
      <c r="DD151" s="1175"/>
      <c r="DE151" s="1175"/>
      <c r="DF151" s="1175"/>
      <c r="DG151" s="1175"/>
      <c r="DH151" s="1175"/>
      <c r="DI151" s="1175"/>
      <c r="DJ151" s="1175"/>
      <c r="DK151" s="1175"/>
      <c r="DL151" s="1175"/>
      <c r="DM151" s="1175"/>
      <c r="DN151" s="1175"/>
      <c r="DO151" s="1175"/>
      <c r="DP151" s="1175"/>
      <c r="DQ151" s="1175"/>
      <c r="DR151" s="1175"/>
      <c r="DS151" s="1175"/>
    </row>
    <row r="152" spans="5:123" s="1187" customFormat="1" ht="18" customHeight="1" x14ac:dyDescent="0.3">
      <c r="E152" s="1175"/>
      <c r="F152" s="1175"/>
      <c r="G152" s="1175"/>
      <c r="H152" s="1175"/>
      <c r="I152" s="1175"/>
      <c r="J152" s="1175"/>
      <c r="K152" s="1175"/>
      <c r="L152" s="1175"/>
      <c r="M152" s="1175"/>
      <c r="N152" s="1175"/>
      <c r="O152" s="1175"/>
      <c r="P152" s="1175"/>
      <c r="Q152" s="1175"/>
      <c r="R152" s="1175"/>
      <c r="S152" s="1175"/>
      <c r="T152" s="1175"/>
      <c r="U152" s="1175"/>
      <c r="V152" s="1175"/>
      <c r="W152" s="1175"/>
      <c r="X152" s="1175"/>
      <c r="Y152" s="1175"/>
      <c r="Z152" s="1175"/>
      <c r="AA152" s="1175"/>
      <c r="AB152" s="1175"/>
      <c r="AC152" s="1175"/>
      <c r="AD152" s="1175"/>
      <c r="AE152" s="1175"/>
      <c r="AF152" s="1175"/>
      <c r="AG152" s="1175"/>
      <c r="AH152" s="1175"/>
      <c r="AI152" s="1175"/>
      <c r="AJ152" s="1175"/>
      <c r="AK152" s="1175"/>
      <c r="AL152" s="1175"/>
      <c r="AM152" s="1175"/>
      <c r="AN152" s="1175"/>
      <c r="AO152" s="1175"/>
      <c r="AP152" s="1175"/>
      <c r="AQ152" s="1175"/>
      <c r="AR152" s="1175"/>
      <c r="AS152" s="1175"/>
      <c r="AT152" s="1175"/>
      <c r="AU152" s="1175"/>
      <c r="AV152" s="1175"/>
      <c r="AW152" s="1175"/>
      <c r="AX152" s="1175"/>
      <c r="AY152" s="1175"/>
      <c r="AZ152" s="1175"/>
      <c r="BA152" s="1175"/>
      <c r="BB152" s="1175"/>
      <c r="BC152" s="1175"/>
      <c r="BD152" s="1175"/>
      <c r="BE152" s="1175"/>
      <c r="BF152" s="1175"/>
      <c r="BG152" s="1175"/>
      <c r="BH152" s="1175"/>
      <c r="BI152" s="1175"/>
      <c r="BJ152" s="1175"/>
      <c r="BK152" s="1175"/>
      <c r="BL152" s="1175"/>
      <c r="BM152" s="1175"/>
      <c r="BN152" s="1175"/>
      <c r="BO152" s="1175"/>
      <c r="BP152" s="1175"/>
      <c r="BQ152" s="1175"/>
      <c r="BR152" s="1175"/>
      <c r="BS152" s="1175"/>
      <c r="BT152" s="1175"/>
      <c r="BU152" s="1175"/>
      <c r="BV152" s="1175"/>
      <c r="BW152" s="1175"/>
      <c r="BX152" s="1175"/>
      <c r="BY152" s="1175"/>
      <c r="BZ152" s="1175"/>
      <c r="CA152" s="1175"/>
      <c r="CB152" s="1175"/>
      <c r="CC152" s="1175"/>
      <c r="CD152" s="1175"/>
      <c r="CE152" s="1175"/>
      <c r="CF152" s="1175"/>
      <c r="CG152" s="1175"/>
      <c r="CH152" s="1175"/>
      <c r="CI152" s="1175"/>
      <c r="CJ152" s="1175"/>
      <c r="CK152" s="1175"/>
      <c r="CL152" s="1175"/>
      <c r="CM152" s="1175"/>
      <c r="CN152" s="1175"/>
      <c r="CO152" s="1175"/>
      <c r="CP152" s="1175"/>
      <c r="CQ152" s="1175"/>
      <c r="CR152" s="1175"/>
      <c r="CS152" s="1175"/>
      <c r="CT152" s="1175"/>
      <c r="CU152" s="1175"/>
      <c r="CV152" s="1175"/>
      <c r="CW152" s="1175"/>
      <c r="CX152" s="1175"/>
      <c r="CY152" s="1175"/>
      <c r="CZ152" s="1175"/>
      <c r="DA152" s="1175"/>
      <c r="DB152" s="1175"/>
      <c r="DC152" s="1175"/>
      <c r="DD152" s="1175"/>
      <c r="DE152" s="1175"/>
      <c r="DF152" s="1175"/>
      <c r="DG152" s="1175"/>
      <c r="DH152" s="1175"/>
      <c r="DI152" s="1175"/>
      <c r="DJ152" s="1175"/>
      <c r="DK152" s="1175"/>
      <c r="DL152" s="1175"/>
      <c r="DM152" s="1175"/>
      <c r="DN152" s="1175"/>
      <c r="DO152" s="1175"/>
      <c r="DP152" s="1175"/>
      <c r="DQ152" s="1175"/>
      <c r="DR152" s="1175"/>
      <c r="DS152" s="1175"/>
    </row>
    <row r="153" spans="5:123" s="1187" customFormat="1" ht="18" customHeight="1" x14ac:dyDescent="0.3">
      <c r="E153" s="1175"/>
      <c r="F153" s="1175"/>
      <c r="G153" s="1175"/>
      <c r="H153" s="1175"/>
      <c r="I153" s="1175"/>
      <c r="J153" s="1175"/>
      <c r="K153" s="1175"/>
      <c r="L153" s="1175"/>
      <c r="M153" s="1175"/>
      <c r="N153" s="1175"/>
      <c r="O153" s="1175"/>
      <c r="P153" s="1175"/>
      <c r="Q153" s="1175"/>
      <c r="R153" s="1175"/>
      <c r="S153" s="1175"/>
      <c r="T153" s="1175"/>
      <c r="U153" s="1175"/>
      <c r="V153" s="1175"/>
      <c r="W153" s="1175"/>
      <c r="X153" s="1175"/>
      <c r="Y153" s="1175"/>
      <c r="Z153" s="1175"/>
      <c r="AA153" s="1175"/>
      <c r="AB153" s="1175"/>
      <c r="AC153" s="1175"/>
      <c r="AD153" s="1175"/>
      <c r="AE153" s="1175"/>
      <c r="AF153" s="1175"/>
      <c r="AG153" s="1175"/>
      <c r="AH153" s="1175"/>
      <c r="AI153" s="1175"/>
      <c r="AJ153" s="1175"/>
      <c r="AK153" s="1175"/>
      <c r="AL153" s="1175"/>
      <c r="AM153" s="1175"/>
      <c r="AN153" s="1175"/>
      <c r="AO153" s="1175"/>
      <c r="AP153" s="1175"/>
      <c r="AQ153" s="1175"/>
      <c r="AR153" s="1175"/>
      <c r="AS153" s="1175"/>
      <c r="AT153" s="1175"/>
      <c r="AU153" s="1175"/>
      <c r="AV153" s="1175"/>
      <c r="AW153" s="1175"/>
      <c r="AX153" s="1175"/>
      <c r="AY153" s="1175"/>
      <c r="AZ153" s="1175"/>
      <c r="BA153" s="1175"/>
      <c r="BB153" s="1175"/>
      <c r="BC153" s="1175"/>
      <c r="BD153" s="1175"/>
      <c r="BE153" s="1175"/>
      <c r="BF153" s="1175"/>
      <c r="BG153" s="1175"/>
      <c r="BH153" s="1175"/>
      <c r="BI153" s="1175"/>
      <c r="BJ153" s="1175"/>
      <c r="BK153" s="1175"/>
      <c r="BL153" s="1175"/>
      <c r="BM153" s="1175"/>
      <c r="BN153" s="1175"/>
      <c r="BO153" s="1175"/>
      <c r="BP153" s="1175"/>
      <c r="BQ153" s="1175"/>
      <c r="BR153" s="1175"/>
      <c r="BS153" s="1175"/>
      <c r="BT153" s="1175"/>
      <c r="BU153" s="1175"/>
      <c r="BV153" s="1175"/>
      <c r="BW153" s="1175"/>
      <c r="BX153" s="1175"/>
      <c r="BY153" s="1175"/>
      <c r="BZ153" s="1175"/>
      <c r="CA153" s="1175"/>
      <c r="CB153" s="1175"/>
      <c r="CC153" s="1175"/>
      <c r="CD153" s="1175"/>
      <c r="CE153" s="1175"/>
      <c r="CF153" s="1175"/>
      <c r="CG153" s="1175"/>
      <c r="CH153" s="1175"/>
      <c r="CI153" s="1175"/>
      <c r="CJ153" s="1175"/>
      <c r="CK153" s="1175"/>
      <c r="CL153" s="1175"/>
      <c r="CM153" s="1175"/>
      <c r="CN153" s="1175"/>
      <c r="CO153" s="1175"/>
      <c r="CP153" s="1175"/>
      <c r="CQ153" s="1175"/>
      <c r="CR153" s="1175"/>
      <c r="CS153" s="1175"/>
      <c r="CT153" s="1175"/>
      <c r="CU153" s="1175"/>
      <c r="CV153" s="1175"/>
      <c r="CW153" s="1175"/>
      <c r="CX153" s="1175"/>
      <c r="CY153" s="1175"/>
      <c r="CZ153" s="1175"/>
      <c r="DA153" s="1175"/>
      <c r="DB153" s="1175"/>
      <c r="DC153" s="1175"/>
      <c r="DD153" s="1175"/>
      <c r="DE153" s="1175"/>
      <c r="DF153" s="1175"/>
      <c r="DG153" s="1175"/>
      <c r="DH153" s="1175"/>
      <c r="DI153" s="1175"/>
      <c r="DJ153" s="1175"/>
      <c r="DK153" s="1175"/>
      <c r="DL153" s="1175"/>
      <c r="DM153" s="1175"/>
      <c r="DN153" s="1175"/>
      <c r="DO153" s="1175"/>
      <c r="DP153" s="1175"/>
      <c r="DQ153" s="1175"/>
      <c r="DR153" s="1175"/>
      <c r="DS153" s="1175"/>
    </row>
    <row r="154" spans="5:123" s="1187" customFormat="1" ht="18" customHeight="1" x14ac:dyDescent="0.3">
      <c r="E154" s="1175"/>
      <c r="F154" s="1175"/>
      <c r="G154" s="1175"/>
      <c r="H154" s="1175"/>
      <c r="I154" s="1175"/>
      <c r="J154" s="1175"/>
      <c r="K154" s="1175"/>
      <c r="L154" s="1175"/>
      <c r="M154" s="1175"/>
      <c r="N154" s="1175"/>
      <c r="O154" s="1175"/>
      <c r="P154" s="1175"/>
      <c r="Q154" s="1175"/>
      <c r="R154" s="1175"/>
      <c r="S154" s="1175"/>
      <c r="T154" s="1175"/>
      <c r="U154" s="1175"/>
      <c r="V154" s="1175"/>
      <c r="W154" s="1175"/>
      <c r="X154" s="1175"/>
      <c r="Y154" s="1175"/>
      <c r="Z154" s="1175"/>
      <c r="AA154" s="1175"/>
      <c r="AB154" s="1175"/>
      <c r="AC154" s="1175"/>
      <c r="AD154" s="1175"/>
      <c r="AE154" s="1175"/>
      <c r="AF154" s="1175"/>
      <c r="AG154" s="1175"/>
      <c r="AH154" s="1175"/>
      <c r="AI154" s="1175"/>
      <c r="AJ154" s="1175"/>
      <c r="AK154" s="1175"/>
      <c r="AL154" s="1175"/>
      <c r="AM154" s="1175"/>
      <c r="AN154" s="1175"/>
      <c r="AO154" s="1175"/>
      <c r="AP154" s="1175"/>
      <c r="AQ154" s="1175"/>
      <c r="AR154" s="1175"/>
      <c r="AS154" s="1175"/>
      <c r="AT154" s="1175"/>
      <c r="AU154" s="1175"/>
      <c r="AV154" s="1175"/>
      <c r="AW154" s="1175"/>
      <c r="AX154" s="1175"/>
      <c r="AY154" s="1175"/>
      <c r="AZ154" s="1175"/>
      <c r="BA154" s="1175"/>
      <c r="BB154" s="1175"/>
      <c r="BC154" s="1175"/>
      <c r="BD154" s="1175"/>
      <c r="BE154" s="1175"/>
      <c r="BF154" s="1175"/>
      <c r="BG154" s="1175"/>
      <c r="BH154" s="1175"/>
      <c r="BI154" s="1175"/>
      <c r="BJ154" s="1175"/>
      <c r="BK154" s="1175"/>
      <c r="BL154" s="1175"/>
      <c r="BM154" s="1175"/>
      <c r="BN154" s="1175"/>
      <c r="BO154" s="1175"/>
      <c r="BP154" s="1175"/>
      <c r="BQ154" s="1175"/>
      <c r="BR154" s="1175"/>
      <c r="BS154" s="1175"/>
      <c r="BT154" s="1175"/>
      <c r="BU154" s="1175"/>
      <c r="BV154" s="1175"/>
      <c r="BW154" s="1175"/>
      <c r="BX154" s="1175"/>
      <c r="BY154" s="1175"/>
      <c r="BZ154" s="1175"/>
      <c r="CA154" s="1175"/>
      <c r="CB154" s="1175"/>
      <c r="CC154" s="1175"/>
      <c r="CD154" s="1175"/>
      <c r="CE154" s="1175"/>
      <c r="CF154" s="1175"/>
      <c r="CG154" s="1175"/>
      <c r="CH154" s="1175"/>
      <c r="CI154" s="1175"/>
      <c r="CJ154" s="1175"/>
      <c r="CK154" s="1175"/>
      <c r="CL154" s="1175"/>
      <c r="CM154" s="1175"/>
      <c r="CN154" s="1175"/>
      <c r="CO154" s="1175"/>
      <c r="CP154" s="1175"/>
      <c r="CQ154" s="1175"/>
      <c r="CR154" s="1175"/>
      <c r="CS154" s="1175"/>
      <c r="CT154" s="1175"/>
      <c r="CU154" s="1175"/>
      <c r="CV154" s="1175"/>
      <c r="CW154" s="1175"/>
      <c r="CX154" s="1175"/>
      <c r="CY154" s="1175"/>
      <c r="CZ154" s="1175"/>
      <c r="DA154" s="1175"/>
      <c r="DB154" s="1175"/>
      <c r="DC154" s="1175"/>
      <c r="DD154" s="1175"/>
      <c r="DE154" s="1175"/>
      <c r="DF154" s="1175"/>
      <c r="DG154" s="1175"/>
      <c r="DH154" s="1175"/>
      <c r="DI154" s="1175"/>
      <c r="DJ154" s="1175"/>
      <c r="DK154" s="1175"/>
      <c r="DL154" s="1175"/>
      <c r="DM154" s="1175"/>
      <c r="DN154" s="1175"/>
      <c r="DO154" s="1175"/>
      <c r="DP154" s="1175"/>
      <c r="DQ154" s="1175"/>
      <c r="DR154" s="1175"/>
      <c r="DS154" s="1175"/>
    </row>
    <row r="155" spans="5:123" s="1187" customFormat="1" ht="18" customHeight="1" x14ac:dyDescent="0.3">
      <c r="E155" s="1175"/>
      <c r="F155" s="1175"/>
      <c r="G155" s="1175"/>
      <c r="H155" s="1175"/>
      <c r="I155" s="1175"/>
      <c r="J155" s="1175"/>
      <c r="K155" s="1175"/>
      <c r="L155" s="1175"/>
      <c r="M155" s="1175"/>
      <c r="N155" s="1175"/>
      <c r="O155" s="1175"/>
      <c r="P155" s="1175"/>
      <c r="Q155" s="1175"/>
      <c r="R155" s="1175"/>
      <c r="S155" s="1175"/>
      <c r="T155" s="1175"/>
      <c r="U155" s="1175"/>
      <c r="V155" s="1175"/>
      <c r="W155" s="1175"/>
      <c r="X155" s="1175"/>
      <c r="Y155" s="1175"/>
      <c r="Z155" s="1175"/>
      <c r="AA155" s="1175"/>
      <c r="AB155" s="1175"/>
      <c r="AC155" s="1175"/>
      <c r="AD155" s="1175"/>
      <c r="AE155" s="1175"/>
      <c r="AF155" s="1175"/>
      <c r="AG155" s="1175"/>
      <c r="AH155" s="1175"/>
      <c r="AI155" s="1175"/>
      <c r="AJ155" s="1175"/>
      <c r="AK155" s="1175"/>
      <c r="AL155" s="1175"/>
      <c r="AM155" s="1175"/>
      <c r="AN155" s="1175"/>
      <c r="AO155" s="1175"/>
      <c r="AP155" s="1175"/>
      <c r="AQ155" s="1175"/>
      <c r="AR155" s="1175"/>
      <c r="AS155" s="1175"/>
      <c r="AT155" s="1175"/>
      <c r="AU155" s="1175"/>
      <c r="AV155" s="1175"/>
      <c r="AW155" s="1175"/>
      <c r="AX155" s="1175"/>
      <c r="AY155" s="1175"/>
      <c r="AZ155" s="1175"/>
      <c r="BA155" s="1175"/>
      <c r="BB155" s="1175"/>
      <c r="BC155" s="1175"/>
      <c r="BD155" s="1175"/>
      <c r="BE155" s="1175"/>
      <c r="BF155" s="1175"/>
      <c r="BG155" s="1175"/>
      <c r="BH155" s="1175"/>
      <c r="BI155" s="1175"/>
      <c r="BJ155" s="1175"/>
      <c r="BK155" s="1175"/>
      <c r="BL155" s="1175"/>
      <c r="BM155" s="1175"/>
      <c r="BN155" s="1175"/>
      <c r="BO155" s="1175"/>
      <c r="BP155" s="1175"/>
      <c r="BQ155" s="1175"/>
      <c r="BR155" s="1175"/>
      <c r="BS155" s="1175"/>
      <c r="BT155" s="1175"/>
      <c r="BU155" s="1175"/>
      <c r="BV155" s="1175"/>
      <c r="BW155" s="1175"/>
      <c r="BX155" s="1175"/>
      <c r="BY155" s="1175"/>
      <c r="BZ155" s="1175"/>
      <c r="CA155" s="1175"/>
      <c r="CB155" s="1175"/>
      <c r="CC155" s="1175"/>
      <c r="CD155" s="1175"/>
      <c r="CE155" s="1175"/>
      <c r="CF155" s="1175"/>
      <c r="CG155" s="1175"/>
      <c r="CH155" s="1175"/>
      <c r="CI155" s="1175"/>
      <c r="CJ155" s="1175"/>
      <c r="CK155" s="1175"/>
      <c r="CL155" s="1175"/>
      <c r="CM155" s="1175"/>
      <c r="CN155" s="1175"/>
      <c r="CO155" s="1175"/>
      <c r="CP155" s="1175"/>
      <c r="CQ155" s="1175"/>
      <c r="CR155" s="1175"/>
      <c r="CS155" s="1175"/>
      <c r="CT155" s="1175"/>
      <c r="CU155" s="1175"/>
      <c r="CV155" s="1175"/>
      <c r="CW155" s="1175"/>
      <c r="CX155" s="1175"/>
      <c r="CY155" s="1175"/>
      <c r="CZ155" s="1175"/>
      <c r="DA155" s="1175"/>
      <c r="DB155" s="1175"/>
      <c r="DC155" s="1175"/>
      <c r="DD155" s="1175"/>
      <c r="DE155" s="1175"/>
      <c r="DF155" s="1175"/>
      <c r="DG155" s="1175"/>
      <c r="DH155" s="1175"/>
      <c r="DI155" s="1175"/>
      <c r="DJ155" s="1175"/>
      <c r="DK155" s="1175"/>
      <c r="DL155" s="1175"/>
      <c r="DM155" s="1175"/>
      <c r="DN155" s="1175"/>
      <c r="DO155" s="1175"/>
      <c r="DP155" s="1175"/>
      <c r="DQ155" s="1175"/>
      <c r="DR155" s="1175"/>
      <c r="DS155" s="1175"/>
    </row>
    <row r="156" spans="5:123" s="1187" customFormat="1" ht="18" customHeight="1" x14ac:dyDescent="0.3">
      <c r="E156" s="1175"/>
      <c r="F156" s="1175"/>
      <c r="G156" s="1175"/>
      <c r="H156" s="1175"/>
      <c r="I156" s="1175"/>
      <c r="J156" s="1175"/>
      <c r="K156" s="1175"/>
      <c r="L156" s="1175"/>
      <c r="M156" s="1175"/>
      <c r="N156" s="1175"/>
      <c r="O156" s="1175"/>
      <c r="P156" s="1175"/>
      <c r="Q156" s="1175"/>
      <c r="R156" s="1175"/>
      <c r="S156" s="1175"/>
      <c r="T156" s="1175"/>
      <c r="U156" s="1175"/>
      <c r="V156" s="1175"/>
      <c r="W156" s="1175"/>
      <c r="X156" s="1175"/>
      <c r="Y156" s="1175"/>
      <c r="Z156" s="1175"/>
      <c r="AA156" s="1175"/>
      <c r="AB156" s="1175"/>
      <c r="AC156" s="1175"/>
      <c r="AD156" s="1175"/>
      <c r="AE156" s="1175"/>
      <c r="AF156" s="1175"/>
      <c r="AG156" s="1175"/>
      <c r="AH156" s="1175"/>
      <c r="AI156" s="1175"/>
      <c r="AJ156" s="1175"/>
      <c r="AK156" s="1175"/>
      <c r="AL156" s="1175"/>
      <c r="AM156" s="1175"/>
      <c r="AN156" s="1175"/>
      <c r="AO156" s="1175"/>
      <c r="AP156" s="1175"/>
      <c r="AQ156" s="1175"/>
      <c r="AR156" s="1175"/>
      <c r="AS156" s="1175"/>
      <c r="AT156" s="1175"/>
      <c r="AU156" s="1175"/>
      <c r="AV156" s="1175"/>
      <c r="AW156" s="1175"/>
      <c r="AX156" s="1175"/>
      <c r="AY156" s="1175"/>
      <c r="AZ156" s="1175"/>
      <c r="BA156" s="1175"/>
      <c r="BB156" s="1175"/>
      <c r="BC156" s="1175"/>
      <c r="BD156" s="1175"/>
      <c r="BE156" s="1175"/>
      <c r="BF156" s="1175"/>
      <c r="BG156" s="1175"/>
      <c r="BH156" s="1175"/>
      <c r="BI156" s="1175"/>
      <c r="BJ156" s="1175"/>
      <c r="BK156" s="1175"/>
      <c r="BL156" s="1175"/>
      <c r="BM156" s="1175"/>
      <c r="BN156" s="1175"/>
      <c r="BO156" s="1175"/>
      <c r="BP156" s="1175"/>
      <c r="BQ156" s="1175"/>
      <c r="BR156" s="1175"/>
      <c r="BS156" s="1175"/>
      <c r="BT156" s="1175"/>
      <c r="BU156" s="1175"/>
      <c r="BV156" s="1175"/>
      <c r="BW156" s="1175"/>
      <c r="BX156" s="1175"/>
      <c r="BY156" s="1175"/>
      <c r="BZ156" s="1175"/>
      <c r="CA156" s="1175"/>
      <c r="CB156" s="1175"/>
      <c r="CC156" s="1175"/>
      <c r="CD156" s="1175"/>
      <c r="CE156" s="1175"/>
      <c r="CF156" s="1175"/>
      <c r="CG156" s="1175"/>
      <c r="CH156" s="1175"/>
      <c r="CI156" s="1175"/>
      <c r="CJ156" s="1175"/>
      <c r="CK156" s="1175"/>
      <c r="CL156" s="1175"/>
      <c r="CM156" s="1175"/>
      <c r="CN156" s="1175"/>
      <c r="CO156" s="1175"/>
      <c r="CP156" s="1175"/>
      <c r="CQ156" s="1175"/>
      <c r="CR156" s="1175"/>
      <c r="CS156" s="1175"/>
      <c r="CT156" s="1175"/>
      <c r="CU156" s="1175"/>
      <c r="CV156" s="1175"/>
      <c r="CW156" s="1175"/>
      <c r="CX156" s="1175"/>
      <c r="CY156" s="1175"/>
      <c r="CZ156" s="1175"/>
      <c r="DA156" s="1175"/>
      <c r="DB156" s="1175"/>
      <c r="DC156" s="1175"/>
      <c r="DD156" s="1175"/>
      <c r="DE156" s="1175"/>
      <c r="DF156" s="1175"/>
      <c r="DG156" s="1175"/>
      <c r="DH156" s="1175"/>
      <c r="DI156" s="1175"/>
      <c r="DJ156" s="1175"/>
      <c r="DK156" s="1175"/>
      <c r="DL156" s="1175"/>
      <c r="DM156" s="1175"/>
      <c r="DN156" s="1175"/>
      <c r="DO156" s="1175"/>
      <c r="DP156" s="1175"/>
      <c r="DQ156" s="1175"/>
      <c r="DR156" s="1175"/>
      <c r="DS156" s="1175"/>
    </row>
    <row r="157" spans="5:123" s="1187" customFormat="1" ht="18" customHeight="1" x14ac:dyDescent="0.3">
      <c r="E157" s="1175"/>
      <c r="F157" s="1175"/>
      <c r="G157" s="1175"/>
      <c r="H157" s="1175"/>
      <c r="I157" s="1175"/>
      <c r="J157" s="1175"/>
      <c r="K157" s="1175"/>
      <c r="L157" s="1175"/>
      <c r="M157" s="1175"/>
      <c r="N157" s="1175"/>
      <c r="O157" s="1175"/>
      <c r="P157" s="1175"/>
      <c r="Q157" s="1175"/>
      <c r="R157" s="1175"/>
      <c r="S157" s="1175"/>
      <c r="T157" s="1175"/>
      <c r="U157" s="1175"/>
      <c r="V157" s="1175"/>
      <c r="W157" s="1175"/>
      <c r="X157" s="1175"/>
      <c r="Y157" s="1175"/>
      <c r="Z157" s="1175"/>
      <c r="AA157" s="1175"/>
      <c r="AB157" s="1175"/>
      <c r="AC157" s="1175"/>
      <c r="AD157" s="1175"/>
      <c r="AE157" s="1175"/>
      <c r="AF157" s="1175"/>
      <c r="AG157" s="1175"/>
      <c r="AH157" s="1175"/>
      <c r="AI157" s="1175"/>
      <c r="AJ157" s="1175"/>
      <c r="AK157" s="1175"/>
      <c r="AL157" s="1175"/>
      <c r="AM157" s="1175"/>
      <c r="AN157" s="1175"/>
      <c r="AO157" s="1175"/>
      <c r="AP157" s="1175"/>
      <c r="AQ157" s="1175"/>
      <c r="AR157" s="1175"/>
      <c r="AS157" s="1175"/>
      <c r="AT157" s="1175"/>
      <c r="AU157" s="1175"/>
      <c r="AV157" s="1175"/>
      <c r="AW157" s="1175"/>
      <c r="AX157" s="1175"/>
      <c r="AY157" s="1175"/>
      <c r="AZ157" s="1175"/>
      <c r="BA157" s="1175"/>
      <c r="BB157" s="1175"/>
      <c r="BC157" s="1175"/>
      <c r="BD157" s="1175"/>
      <c r="BE157" s="1175"/>
      <c r="BF157" s="1175"/>
      <c r="BG157" s="1175"/>
      <c r="BH157" s="1175"/>
      <c r="BI157" s="1175"/>
      <c r="BJ157" s="1175"/>
      <c r="BK157" s="1175"/>
      <c r="BL157" s="1175"/>
      <c r="BM157" s="1175"/>
      <c r="BN157" s="1175"/>
      <c r="BO157" s="1175"/>
      <c r="BP157" s="1175"/>
      <c r="BQ157" s="1175"/>
      <c r="BR157" s="1175"/>
      <c r="BS157" s="1175"/>
      <c r="BT157" s="1175"/>
      <c r="BU157" s="1175"/>
      <c r="BV157" s="1175"/>
      <c r="BW157" s="1175"/>
      <c r="BX157" s="1175"/>
      <c r="BY157" s="1175"/>
      <c r="BZ157" s="1175"/>
      <c r="CA157" s="1175"/>
      <c r="CB157" s="1175"/>
      <c r="CC157" s="1175"/>
      <c r="CD157" s="1175"/>
      <c r="CE157" s="1175"/>
      <c r="CF157" s="1175"/>
      <c r="CG157" s="1175"/>
      <c r="CH157" s="1175"/>
      <c r="CI157" s="1175"/>
      <c r="CJ157" s="1175"/>
      <c r="CK157" s="1175"/>
      <c r="CL157" s="1175"/>
      <c r="CM157" s="1175"/>
      <c r="CN157" s="1175"/>
      <c r="CO157" s="1175"/>
      <c r="CP157" s="1175"/>
      <c r="CQ157" s="1175"/>
      <c r="CR157" s="1175"/>
      <c r="CS157" s="1175"/>
      <c r="CT157" s="1175"/>
      <c r="CU157" s="1175"/>
      <c r="CV157" s="1175"/>
      <c r="CW157" s="1175"/>
      <c r="CX157" s="1175"/>
      <c r="CY157" s="1175"/>
      <c r="CZ157" s="1175"/>
      <c r="DA157" s="1175"/>
      <c r="DB157" s="1175"/>
      <c r="DC157" s="1175"/>
      <c r="DD157" s="1175"/>
      <c r="DE157" s="1175"/>
      <c r="DF157" s="1175"/>
      <c r="DG157" s="1175"/>
      <c r="DH157" s="1175"/>
      <c r="DI157" s="1175"/>
      <c r="DJ157" s="1175"/>
      <c r="DK157" s="1175"/>
      <c r="DL157" s="1175"/>
      <c r="DM157" s="1175"/>
      <c r="DN157" s="1175"/>
      <c r="DO157" s="1175"/>
      <c r="DP157" s="1175"/>
      <c r="DQ157" s="1175"/>
      <c r="DR157" s="1175"/>
      <c r="DS157" s="1175"/>
    </row>
    <row r="158" spans="5:123" s="1187" customFormat="1" ht="18" customHeight="1" x14ac:dyDescent="0.3">
      <c r="E158" s="1175"/>
      <c r="F158" s="1175"/>
      <c r="G158" s="1175"/>
      <c r="H158" s="1175"/>
      <c r="I158" s="1175"/>
      <c r="J158" s="1175"/>
      <c r="K158" s="1175"/>
      <c r="L158" s="1175"/>
      <c r="M158" s="1175"/>
      <c r="N158" s="1175"/>
      <c r="O158" s="1175"/>
      <c r="P158" s="1175"/>
      <c r="Q158" s="1175"/>
      <c r="R158" s="1175"/>
      <c r="S158" s="1175"/>
      <c r="T158" s="1175"/>
      <c r="U158" s="1175"/>
      <c r="V158" s="1175"/>
      <c r="W158" s="1175"/>
      <c r="X158" s="1175"/>
      <c r="Y158" s="1175"/>
      <c r="Z158" s="1175"/>
      <c r="AA158" s="1175"/>
      <c r="AB158" s="1175"/>
      <c r="AC158" s="1175"/>
      <c r="AD158" s="1175"/>
      <c r="AE158" s="1175"/>
      <c r="AF158" s="1175"/>
      <c r="AG158" s="1175"/>
      <c r="AH158" s="1175"/>
      <c r="AI158" s="1175"/>
      <c r="AJ158" s="1175"/>
      <c r="AK158" s="1175"/>
      <c r="AL158" s="1175"/>
      <c r="AM158" s="1175"/>
      <c r="AN158" s="1175"/>
      <c r="AO158" s="1175"/>
      <c r="AP158" s="1175"/>
      <c r="AQ158" s="1175"/>
      <c r="AR158" s="1175"/>
      <c r="AS158" s="1175"/>
      <c r="AT158" s="1175"/>
      <c r="AU158" s="1175"/>
      <c r="AV158" s="1175"/>
      <c r="AW158" s="1175"/>
      <c r="AX158" s="1175"/>
      <c r="AY158" s="1175"/>
      <c r="AZ158" s="1175"/>
      <c r="BA158" s="1175"/>
      <c r="BB158" s="1175"/>
      <c r="BC158" s="1175"/>
      <c r="BD158" s="1175"/>
      <c r="BE158" s="1175"/>
      <c r="BF158" s="1175"/>
      <c r="BG158" s="1175"/>
      <c r="BH158" s="1175"/>
      <c r="BI158" s="1175"/>
      <c r="BJ158" s="1175"/>
      <c r="BK158" s="1175"/>
      <c r="BL158" s="1175"/>
      <c r="BM158" s="1175"/>
      <c r="BN158" s="1175"/>
      <c r="BO158" s="1175"/>
      <c r="BP158" s="1175"/>
      <c r="BQ158" s="1175"/>
      <c r="BR158" s="1175"/>
      <c r="BS158" s="1175"/>
      <c r="BT158" s="1175"/>
      <c r="BU158" s="1175"/>
      <c r="BV158" s="1175"/>
      <c r="BW158" s="1175"/>
      <c r="BX158" s="1175"/>
      <c r="BY158" s="1175"/>
      <c r="BZ158" s="1175"/>
      <c r="CA158" s="1175"/>
      <c r="CB158" s="1175"/>
      <c r="CC158" s="1175"/>
      <c r="CD158" s="1175"/>
      <c r="CE158" s="1175"/>
      <c r="CF158" s="1175"/>
      <c r="CG158" s="1175"/>
      <c r="CH158" s="1175"/>
      <c r="CI158" s="1175"/>
      <c r="CJ158" s="1175"/>
      <c r="CK158" s="1175"/>
      <c r="CL158" s="1175"/>
      <c r="CM158" s="1175"/>
      <c r="CN158" s="1175"/>
      <c r="CO158" s="1175"/>
      <c r="CP158" s="1175"/>
      <c r="CQ158" s="1175"/>
      <c r="CR158" s="1175"/>
      <c r="CS158" s="1175"/>
      <c r="CT158" s="1175"/>
      <c r="CU158" s="1175"/>
      <c r="CV158" s="1175"/>
      <c r="CW158" s="1175"/>
      <c r="CX158" s="1175"/>
      <c r="CY158" s="1175"/>
      <c r="CZ158" s="1175"/>
      <c r="DA158" s="1175"/>
      <c r="DB158" s="1175"/>
      <c r="DC158" s="1175"/>
      <c r="DD158" s="1175"/>
      <c r="DE158" s="1175"/>
      <c r="DF158" s="1175"/>
      <c r="DG158" s="1175"/>
      <c r="DH158" s="1175"/>
      <c r="DI158" s="1175"/>
      <c r="DJ158" s="1175"/>
      <c r="DK158" s="1175"/>
      <c r="DL158" s="1175"/>
      <c r="DM158" s="1175"/>
      <c r="DN158" s="1175"/>
      <c r="DO158" s="1175"/>
      <c r="DP158" s="1175"/>
      <c r="DQ158" s="1175"/>
      <c r="DR158" s="1175"/>
      <c r="DS158" s="1175"/>
    </row>
    <row r="159" spans="5:123" s="1187" customFormat="1" ht="18" customHeight="1" x14ac:dyDescent="0.3">
      <c r="E159" s="1175"/>
      <c r="F159" s="1175"/>
      <c r="G159" s="1175"/>
      <c r="H159" s="1175"/>
      <c r="I159" s="1175"/>
      <c r="J159" s="1175"/>
      <c r="K159" s="1175"/>
      <c r="L159" s="1175"/>
      <c r="M159" s="1175"/>
      <c r="N159" s="1175"/>
      <c r="O159" s="1175"/>
      <c r="P159" s="1175"/>
      <c r="Q159" s="1175"/>
      <c r="R159" s="1175"/>
      <c r="S159" s="1175"/>
      <c r="T159" s="1175"/>
      <c r="U159" s="1175"/>
      <c r="V159" s="1175"/>
      <c r="W159" s="1175"/>
      <c r="X159" s="1175"/>
      <c r="Y159" s="1175"/>
      <c r="Z159" s="1175"/>
      <c r="AA159" s="1175"/>
      <c r="AB159" s="1175"/>
      <c r="AC159" s="1175"/>
      <c r="AD159" s="1175"/>
      <c r="AE159" s="1175"/>
      <c r="AF159" s="1175"/>
      <c r="AG159" s="1175"/>
      <c r="AH159" s="1175"/>
      <c r="AI159" s="1175"/>
      <c r="AJ159" s="1175"/>
      <c r="AK159" s="1175"/>
      <c r="AL159" s="1175"/>
      <c r="AM159" s="1175"/>
      <c r="AN159" s="1175"/>
      <c r="AO159" s="1175"/>
      <c r="AP159" s="1175"/>
      <c r="AQ159" s="1175"/>
      <c r="AR159" s="1175"/>
      <c r="AS159" s="1175"/>
      <c r="AT159" s="1175"/>
      <c r="AU159" s="1175"/>
      <c r="AV159" s="1175"/>
      <c r="AW159" s="1175"/>
      <c r="AX159" s="1175"/>
      <c r="AY159" s="1175"/>
      <c r="AZ159" s="1175"/>
      <c r="BA159" s="1175"/>
      <c r="BB159" s="1175"/>
      <c r="BC159" s="1175"/>
      <c r="BD159" s="1175"/>
      <c r="BE159" s="1175"/>
      <c r="BF159" s="1175"/>
      <c r="BG159" s="1175"/>
      <c r="BH159" s="1175"/>
      <c r="BI159" s="1175"/>
      <c r="BJ159" s="1175"/>
      <c r="BK159" s="1175"/>
      <c r="BL159" s="1175"/>
      <c r="BM159" s="1175"/>
      <c r="BN159" s="1175"/>
      <c r="BO159" s="1175"/>
      <c r="BP159" s="1175"/>
      <c r="BQ159" s="1175"/>
      <c r="BR159" s="1175"/>
      <c r="BS159" s="1175"/>
      <c r="BT159" s="1175"/>
      <c r="BU159" s="1175"/>
      <c r="BV159" s="1175"/>
      <c r="BW159" s="1175"/>
      <c r="BX159" s="1175"/>
      <c r="BY159" s="1175"/>
      <c r="BZ159" s="1175"/>
      <c r="CA159" s="1175"/>
      <c r="CB159" s="1175"/>
      <c r="CC159" s="1175"/>
      <c r="CD159" s="1175"/>
      <c r="CE159" s="1175"/>
      <c r="CF159" s="1175"/>
      <c r="CG159" s="1175"/>
      <c r="CH159" s="1175"/>
      <c r="CI159" s="1175"/>
      <c r="CJ159" s="1175"/>
      <c r="CK159" s="1175"/>
      <c r="CL159" s="1175"/>
      <c r="CM159" s="1175"/>
      <c r="CN159" s="1175"/>
      <c r="CO159" s="1175"/>
      <c r="CP159" s="1175"/>
      <c r="CQ159" s="1175"/>
      <c r="CR159" s="1175"/>
      <c r="CS159" s="1175"/>
      <c r="CT159" s="1175"/>
      <c r="CU159" s="1175"/>
      <c r="CV159" s="1175"/>
      <c r="CW159" s="1175"/>
      <c r="CX159" s="1175"/>
      <c r="CY159" s="1175"/>
      <c r="CZ159" s="1175"/>
      <c r="DA159" s="1175"/>
      <c r="DB159" s="1175"/>
      <c r="DC159" s="1175"/>
      <c r="DD159" s="1175"/>
      <c r="DE159" s="1175"/>
      <c r="DF159" s="1175"/>
      <c r="DG159" s="1175"/>
      <c r="DH159" s="1175"/>
      <c r="DI159" s="1175"/>
      <c r="DJ159" s="1175"/>
      <c r="DK159" s="1175"/>
      <c r="DL159" s="1175"/>
      <c r="DM159" s="1175"/>
      <c r="DN159" s="1175"/>
      <c r="DO159" s="1175"/>
      <c r="DP159" s="1175"/>
      <c r="DQ159" s="1175"/>
      <c r="DR159" s="1175"/>
      <c r="DS159" s="1175"/>
    </row>
    <row r="160" spans="5:123" s="1187" customFormat="1" ht="18" customHeight="1" x14ac:dyDescent="0.3">
      <c r="E160" s="1175"/>
      <c r="F160" s="1175"/>
      <c r="G160" s="1175"/>
      <c r="H160" s="1175"/>
      <c r="I160" s="1175"/>
      <c r="J160" s="1175"/>
      <c r="K160" s="1175"/>
      <c r="L160" s="1175"/>
      <c r="M160" s="1175"/>
      <c r="N160" s="1175"/>
      <c r="O160" s="1175"/>
      <c r="P160" s="1175"/>
      <c r="Q160" s="1175"/>
      <c r="R160" s="1175"/>
      <c r="S160" s="1175"/>
      <c r="T160" s="1175"/>
      <c r="U160" s="1175"/>
      <c r="V160" s="1175"/>
      <c r="W160" s="1175"/>
      <c r="X160" s="1175"/>
      <c r="Y160" s="1175"/>
      <c r="Z160" s="1175"/>
      <c r="AA160" s="1175"/>
      <c r="AB160" s="1175"/>
      <c r="AC160" s="1175"/>
      <c r="AD160" s="1175"/>
      <c r="AE160" s="1175"/>
      <c r="AF160" s="1175"/>
      <c r="AG160" s="1175"/>
      <c r="AH160" s="1175"/>
      <c r="AI160" s="1175"/>
      <c r="AJ160" s="1175"/>
      <c r="AK160" s="1175"/>
      <c r="AL160" s="1175"/>
      <c r="AM160" s="1175"/>
      <c r="AN160" s="1175"/>
      <c r="AO160" s="1175"/>
      <c r="AP160" s="1175"/>
      <c r="AQ160" s="1175"/>
      <c r="AR160" s="1175"/>
      <c r="AS160" s="1175"/>
      <c r="AT160" s="1175"/>
      <c r="AU160" s="1175"/>
      <c r="AV160" s="1175"/>
      <c r="AW160" s="1175"/>
      <c r="AX160" s="1175"/>
      <c r="AY160" s="1175"/>
      <c r="AZ160" s="1175"/>
      <c r="BA160" s="1175"/>
      <c r="BB160" s="1175"/>
      <c r="BC160" s="1175"/>
      <c r="BD160" s="1175"/>
      <c r="BE160" s="1175"/>
      <c r="BF160" s="1175"/>
      <c r="BG160" s="1175"/>
      <c r="BH160" s="1175"/>
      <c r="BI160" s="1175"/>
      <c r="BJ160" s="1175"/>
      <c r="BK160" s="1175"/>
      <c r="BL160" s="1175"/>
      <c r="BM160" s="1175"/>
      <c r="BN160" s="1175"/>
      <c r="BO160" s="1175"/>
      <c r="BP160" s="1175"/>
      <c r="BQ160" s="1175"/>
      <c r="BR160" s="1175"/>
      <c r="BS160" s="1175"/>
      <c r="BT160" s="1175"/>
      <c r="BU160" s="1175"/>
      <c r="BV160" s="1175"/>
      <c r="BW160" s="1175"/>
      <c r="BX160" s="1175"/>
      <c r="BY160" s="1175"/>
      <c r="BZ160" s="1175"/>
      <c r="CA160" s="1175"/>
      <c r="CB160" s="1175"/>
      <c r="CC160" s="1175"/>
      <c r="CD160" s="1175"/>
      <c r="CE160" s="1175"/>
      <c r="CF160" s="1175"/>
      <c r="CG160" s="1175"/>
      <c r="CH160" s="1175"/>
      <c r="CI160" s="1175"/>
      <c r="CJ160" s="1175"/>
      <c r="CK160" s="1175"/>
      <c r="CL160" s="1175"/>
      <c r="CM160" s="1175"/>
      <c r="CN160" s="1175"/>
      <c r="CO160" s="1175"/>
      <c r="CP160" s="1175"/>
      <c r="CQ160" s="1175"/>
      <c r="CR160" s="1175"/>
      <c r="CS160" s="1175"/>
      <c r="CT160" s="1175"/>
      <c r="CU160" s="1175"/>
      <c r="CV160" s="1175"/>
      <c r="CW160" s="1175"/>
      <c r="CX160" s="1175"/>
      <c r="CY160" s="1175"/>
      <c r="CZ160" s="1175"/>
      <c r="DA160" s="1175"/>
      <c r="DB160" s="1175"/>
      <c r="DC160" s="1175"/>
      <c r="DD160" s="1175"/>
      <c r="DE160" s="1175"/>
      <c r="DF160" s="1175"/>
      <c r="DG160" s="1175"/>
      <c r="DH160" s="1175"/>
      <c r="DI160" s="1175"/>
      <c r="DJ160" s="1175"/>
      <c r="DK160" s="1175"/>
      <c r="DL160" s="1175"/>
      <c r="DM160" s="1175"/>
      <c r="DN160" s="1175"/>
      <c r="DO160" s="1175"/>
      <c r="DP160" s="1175"/>
      <c r="DQ160" s="1175"/>
      <c r="DR160" s="1175"/>
      <c r="DS160" s="1175"/>
    </row>
    <row r="161" spans="5:123" s="1187" customFormat="1" ht="18" customHeight="1" x14ac:dyDescent="0.3">
      <c r="E161" s="1175"/>
      <c r="F161" s="1175"/>
      <c r="G161" s="1175"/>
      <c r="H161" s="1175"/>
      <c r="I161" s="1175"/>
      <c r="J161" s="1175"/>
      <c r="K161" s="1175"/>
      <c r="L161" s="1175"/>
      <c r="M161" s="1175"/>
      <c r="N161" s="1175"/>
      <c r="O161" s="1175"/>
      <c r="P161" s="1175"/>
      <c r="Q161" s="1175"/>
      <c r="R161" s="1175"/>
      <c r="S161" s="1175"/>
      <c r="T161" s="1175"/>
      <c r="U161" s="1175"/>
      <c r="V161" s="1175"/>
      <c r="W161" s="1175"/>
      <c r="X161" s="1175"/>
      <c r="Y161" s="1175"/>
      <c r="Z161" s="1175"/>
      <c r="AA161" s="1175"/>
      <c r="AB161" s="1175"/>
      <c r="AC161" s="1175"/>
      <c r="AD161" s="1175"/>
      <c r="AE161" s="1175"/>
      <c r="AF161" s="1175"/>
      <c r="AG161" s="1175"/>
      <c r="AH161" s="1175"/>
      <c r="AI161" s="1175"/>
      <c r="AJ161" s="1175"/>
      <c r="AK161" s="1175"/>
      <c r="AL161" s="1175"/>
      <c r="AM161" s="1175"/>
      <c r="AN161" s="1175"/>
      <c r="AO161" s="1175"/>
      <c r="AP161" s="1175"/>
      <c r="AQ161" s="1175"/>
      <c r="AR161" s="1175"/>
      <c r="AS161" s="1175"/>
      <c r="AT161" s="1175"/>
      <c r="AU161" s="1175"/>
      <c r="AV161" s="1175"/>
      <c r="AW161" s="1175"/>
      <c r="AX161" s="1175"/>
      <c r="AY161" s="1175"/>
      <c r="AZ161" s="1175"/>
      <c r="BA161" s="1175"/>
      <c r="BB161" s="1175"/>
      <c r="BC161" s="1175"/>
      <c r="BD161" s="1175"/>
      <c r="BE161" s="1175"/>
      <c r="BF161" s="1175"/>
      <c r="BG161" s="1175"/>
      <c r="BH161" s="1175"/>
      <c r="BI161" s="1175"/>
      <c r="BJ161" s="1175"/>
      <c r="BK161" s="1175"/>
      <c r="BL161" s="1175"/>
      <c r="BM161" s="1175"/>
      <c r="BN161" s="1175"/>
      <c r="BO161" s="1175"/>
      <c r="BP161" s="1175"/>
      <c r="BQ161" s="1175"/>
      <c r="BR161" s="1175"/>
      <c r="BS161" s="1175"/>
      <c r="BT161" s="1175"/>
      <c r="BU161" s="1175"/>
      <c r="BV161" s="1175"/>
      <c r="BW161" s="1175"/>
      <c r="BX161" s="1175"/>
      <c r="BY161" s="1175"/>
      <c r="BZ161" s="1175"/>
      <c r="CA161" s="1175"/>
      <c r="CB161" s="1175"/>
      <c r="CC161" s="1175"/>
      <c r="CD161" s="1175"/>
      <c r="CE161" s="1175"/>
      <c r="CF161" s="1175"/>
      <c r="CG161" s="1175"/>
      <c r="CH161" s="1175"/>
      <c r="CI161" s="1175"/>
      <c r="CJ161" s="1175"/>
      <c r="CK161" s="1175"/>
      <c r="CL161" s="1175"/>
      <c r="CM161" s="1175"/>
      <c r="CN161" s="1175"/>
      <c r="CO161" s="1175"/>
      <c r="CP161" s="1175"/>
      <c r="CQ161" s="1175"/>
      <c r="CR161" s="1175"/>
      <c r="CS161" s="1175"/>
      <c r="CT161" s="1175"/>
      <c r="CU161" s="1175"/>
      <c r="CV161" s="1175"/>
      <c r="CW161" s="1175"/>
      <c r="CX161" s="1175"/>
      <c r="CY161" s="1175"/>
      <c r="CZ161" s="1175"/>
      <c r="DA161" s="1175"/>
      <c r="DB161" s="1175"/>
      <c r="DC161" s="1175"/>
      <c r="DD161" s="1175"/>
      <c r="DE161" s="1175"/>
      <c r="DF161" s="1175"/>
      <c r="DG161" s="1175"/>
      <c r="DH161" s="1175"/>
      <c r="DI161" s="1175"/>
      <c r="DJ161" s="1175"/>
      <c r="DK161" s="1175"/>
      <c r="DL161" s="1175"/>
      <c r="DM161" s="1175"/>
      <c r="DN161" s="1175"/>
      <c r="DO161" s="1175"/>
      <c r="DP161" s="1175"/>
      <c r="DQ161" s="1175"/>
      <c r="DR161" s="1175"/>
      <c r="DS161" s="1175"/>
    </row>
    <row r="162" spans="5:123" s="1187" customFormat="1" ht="18" customHeight="1" x14ac:dyDescent="0.3">
      <c r="E162" s="1175"/>
      <c r="F162" s="1175"/>
      <c r="G162" s="1175"/>
      <c r="H162" s="1175"/>
      <c r="I162" s="1175"/>
      <c r="J162" s="1175"/>
      <c r="K162" s="1175"/>
      <c r="L162" s="1175"/>
      <c r="M162" s="1175"/>
      <c r="N162" s="1175"/>
      <c r="O162" s="1175"/>
      <c r="P162" s="1175"/>
      <c r="Q162" s="1175"/>
      <c r="R162" s="1175"/>
      <c r="S162" s="1175"/>
      <c r="T162" s="1175"/>
      <c r="U162" s="1175"/>
      <c r="V162" s="1175"/>
      <c r="W162" s="1175"/>
      <c r="X162" s="1175"/>
      <c r="Y162" s="1175"/>
      <c r="Z162" s="1175"/>
      <c r="AA162" s="1175"/>
      <c r="AB162" s="1175"/>
      <c r="AC162" s="1175"/>
      <c r="AD162" s="1175"/>
      <c r="AE162" s="1175"/>
      <c r="AF162" s="1175"/>
      <c r="AG162" s="1175"/>
      <c r="AH162" s="1175"/>
      <c r="AI162" s="1175"/>
      <c r="AJ162" s="1175"/>
      <c r="AK162" s="1175"/>
      <c r="AL162" s="1175"/>
      <c r="AM162" s="1175"/>
      <c r="AN162" s="1175"/>
      <c r="AO162" s="1175"/>
      <c r="AP162" s="1175"/>
      <c r="AQ162" s="1175"/>
      <c r="AR162" s="1175"/>
      <c r="AS162" s="1175"/>
      <c r="AT162" s="1175"/>
      <c r="AU162" s="1175"/>
      <c r="AV162" s="1175"/>
      <c r="AW162" s="1175"/>
      <c r="AX162" s="1175"/>
      <c r="AY162" s="1175"/>
      <c r="AZ162" s="1175"/>
      <c r="BA162" s="1175"/>
      <c r="BB162" s="1175"/>
      <c r="BC162" s="1175"/>
      <c r="BD162" s="1175"/>
      <c r="BE162" s="1175"/>
      <c r="BF162" s="1175"/>
      <c r="BG162" s="1175"/>
      <c r="BH162" s="1175"/>
      <c r="BI162" s="1175"/>
      <c r="BJ162" s="1175"/>
      <c r="BK162" s="1175"/>
      <c r="BL162" s="1175"/>
      <c r="BM162" s="1175"/>
      <c r="BN162" s="1175"/>
      <c r="BO162" s="1175"/>
      <c r="BP162" s="1175"/>
      <c r="BQ162" s="1175"/>
      <c r="BR162" s="1175"/>
      <c r="BS162" s="1175"/>
      <c r="BT162" s="1175"/>
      <c r="BU162" s="1175"/>
      <c r="BV162" s="1175"/>
      <c r="BW162" s="1175"/>
      <c r="BX162" s="1175"/>
      <c r="BY162" s="1175"/>
      <c r="BZ162" s="1175"/>
      <c r="CA162" s="1175"/>
      <c r="CB162" s="1175"/>
      <c r="CC162" s="1175"/>
      <c r="CD162" s="1175"/>
      <c r="CE162" s="1175"/>
      <c r="CF162" s="1175"/>
      <c r="CG162" s="1175"/>
      <c r="CH162" s="1175"/>
      <c r="CI162" s="1175"/>
      <c r="CJ162" s="1175"/>
      <c r="CK162" s="1175"/>
      <c r="CL162" s="1175"/>
      <c r="CM162" s="1175"/>
      <c r="CN162" s="1175"/>
      <c r="CO162" s="1175"/>
      <c r="CP162" s="1175"/>
      <c r="CQ162" s="1175"/>
      <c r="CR162" s="1175"/>
      <c r="CS162" s="1175"/>
      <c r="CT162" s="1175"/>
      <c r="CU162" s="1175"/>
      <c r="CV162" s="1175"/>
      <c r="CW162" s="1175"/>
      <c r="CX162" s="1175"/>
      <c r="CY162" s="1175"/>
      <c r="CZ162" s="1175"/>
      <c r="DA162" s="1175"/>
      <c r="DB162" s="1175"/>
      <c r="DC162" s="1175"/>
      <c r="DD162" s="1175"/>
      <c r="DE162" s="1175"/>
      <c r="DF162" s="1175"/>
      <c r="DG162" s="1175"/>
      <c r="DH162" s="1175"/>
      <c r="DI162" s="1175"/>
      <c r="DJ162" s="1175"/>
      <c r="DK162" s="1175"/>
      <c r="DL162" s="1175"/>
      <c r="DM162" s="1175"/>
      <c r="DN162" s="1175"/>
      <c r="DO162" s="1175"/>
      <c r="DP162" s="1175"/>
      <c r="DQ162" s="1175"/>
      <c r="DR162" s="1175"/>
      <c r="DS162" s="1175"/>
    </row>
    <row r="163" spans="5:123" s="1187" customFormat="1" ht="18" customHeight="1" x14ac:dyDescent="0.3">
      <c r="E163" s="1175"/>
      <c r="F163" s="1175"/>
      <c r="G163" s="1175"/>
      <c r="H163" s="1175"/>
      <c r="I163" s="1175"/>
      <c r="J163" s="1175"/>
      <c r="K163" s="1175"/>
      <c r="L163" s="1175"/>
      <c r="M163" s="1175"/>
      <c r="N163" s="1175"/>
      <c r="O163" s="1175"/>
      <c r="P163" s="1175"/>
      <c r="Q163" s="1175"/>
      <c r="R163" s="1175"/>
      <c r="S163" s="1175"/>
      <c r="T163" s="1175"/>
      <c r="U163" s="1175"/>
      <c r="V163" s="1175"/>
      <c r="W163" s="1175"/>
      <c r="X163" s="1175"/>
      <c r="Y163" s="1175"/>
      <c r="Z163" s="1175"/>
      <c r="AA163" s="1175"/>
      <c r="AB163" s="1175"/>
      <c r="AC163" s="1175"/>
      <c r="AD163" s="1175"/>
      <c r="AE163" s="1175"/>
      <c r="AF163" s="1175"/>
      <c r="AG163" s="1175"/>
      <c r="AH163" s="1175"/>
      <c r="AI163" s="1175"/>
      <c r="AJ163" s="1175"/>
      <c r="AK163" s="1175"/>
      <c r="AL163" s="1175"/>
      <c r="AM163" s="1175"/>
      <c r="AN163" s="1175"/>
      <c r="AO163" s="1175"/>
      <c r="AP163" s="1175"/>
      <c r="AQ163" s="1175"/>
      <c r="AR163" s="1175"/>
      <c r="AS163" s="1175"/>
      <c r="AT163" s="1175"/>
      <c r="AU163" s="1175"/>
      <c r="AV163" s="1175"/>
      <c r="AW163" s="1175"/>
      <c r="AX163" s="1175"/>
      <c r="AY163" s="1175"/>
      <c r="AZ163" s="1175"/>
      <c r="BA163" s="1175"/>
      <c r="BB163" s="1175"/>
      <c r="BC163" s="1175"/>
      <c r="BD163" s="1175"/>
      <c r="BE163" s="1175"/>
      <c r="BF163" s="1175"/>
      <c r="BG163" s="1175"/>
      <c r="BH163" s="1175"/>
      <c r="BI163" s="1175"/>
      <c r="BJ163" s="1175"/>
      <c r="BK163" s="1175"/>
      <c r="BL163" s="1175"/>
      <c r="BM163" s="1175"/>
      <c r="BN163" s="1175"/>
      <c r="BO163" s="1175"/>
      <c r="BP163" s="1175"/>
      <c r="BQ163" s="1175"/>
      <c r="BR163" s="1175"/>
      <c r="BS163" s="1175"/>
      <c r="BT163" s="1175"/>
      <c r="BU163" s="1175"/>
      <c r="BV163" s="1175"/>
      <c r="BW163" s="1175"/>
      <c r="BX163" s="1175"/>
      <c r="BY163" s="1175"/>
      <c r="BZ163" s="1175"/>
      <c r="CA163" s="1175"/>
      <c r="CB163" s="1175"/>
      <c r="CC163" s="1175"/>
      <c r="CD163" s="1175"/>
      <c r="CE163" s="1175"/>
      <c r="CF163" s="1175"/>
      <c r="CG163" s="1175"/>
      <c r="CH163" s="1175"/>
      <c r="CI163" s="1175"/>
      <c r="CJ163" s="1175"/>
      <c r="CK163" s="1175"/>
      <c r="CL163" s="1175"/>
      <c r="CM163" s="1175"/>
      <c r="CN163" s="1175"/>
      <c r="CO163" s="1175"/>
      <c r="CP163" s="1175"/>
      <c r="CQ163" s="1175"/>
      <c r="CR163" s="1175"/>
      <c r="CS163" s="1175"/>
      <c r="CT163" s="1175"/>
      <c r="CU163" s="1175"/>
      <c r="CV163" s="1175"/>
      <c r="CW163" s="1175"/>
      <c r="CX163" s="1175"/>
      <c r="CY163" s="1175"/>
      <c r="CZ163" s="1175"/>
      <c r="DA163" s="1175"/>
      <c r="DB163" s="1175"/>
      <c r="DC163" s="1175"/>
      <c r="DD163" s="1175"/>
      <c r="DE163" s="1175"/>
      <c r="DF163" s="1175"/>
      <c r="DG163" s="1175"/>
      <c r="DH163" s="1175"/>
      <c r="DI163" s="1175"/>
      <c r="DJ163" s="1175"/>
      <c r="DK163" s="1175"/>
      <c r="DL163" s="1175"/>
      <c r="DM163" s="1175"/>
      <c r="DN163" s="1175"/>
      <c r="DO163" s="1175"/>
      <c r="DP163" s="1175"/>
      <c r="DQ163" s="1175"/>
      <c r="DR163" s="1175"/>
      <c r="DS163" s="1175"/>
    </row>
    <row r="164" spans="5:123" s="1187" customFormat="1" ht="18" customHeight="1" x14ac:dyDescent="0.3">
      <c r="E164" s="1175"/>
      <c r="F164" s="1175"/>
      <c r="G164" s="1175"/>
      <c r="H164" s="1175"/>
      <c r="I164" s="1175"/>
      <c r="J164" s="1175"/>
      <c r="K164" s="1175"/>
      <c r="L164" s="1175"/>
      <c r="M164" s="1175"/>
      <c r="N164" s="1175"/>
      <c r="O164" s="1175"/>
      <c r="P164" s="1175"/>
      <c r="Q164" s="1175"/>
      <c r="R164" s="1175"/>
      <c r="S164" s="1175"/>
      <c r="T164" s="1175"/>
      <c r="U164" s="1175"/>
      <c r="V164" s="1175"/>
      <c r="W164" s="1175"/>
      <c r="X164" s="1175"/>
      <c r="Y164" s="1175"/>
      <c r="Z164" s="1175"/>
      <c r="AA164" s="1175"/>
      <c r="AB164" s="1175"/>
      <c r="AC164" s="1175"/>
      <c r="AD164" s="1175"/>
      <c r="AE164" s="1175"/>
      <c r="AF164" s="1175"/>
      <c r="AG164" s="1175"/>
      <c r="AH164" s="1175"/>
      <c r="AI164" s="1175"/>
      <c r="AJ164" s="1175"/>
      <c r="AK164" s="1175"/>
      <c r="AL164" s="1175"/>
      <c r="AM164" s="1175"/>
      <c r="AN164" s="1175"/>
      <c r="AO164" s="1175"/>
      <c r="AP164" s="1175"/>
      <c r="AQ164" s="1175"/>
      <c r="AR164" s="1175"/>
      <c r="AS164" s="1175"/>
      <c r="AT164" s="1175"/>
      <c r="AU164" s="1175"/>
      <c r="AV164" s="1175"/>
      <c r="AW164" s="1175"/>
      <c r="AX164" s="1175"/>
      <c r="AY164" s="1175"/>
      <c r="AZ164" s="1175"/>
      <c r="BA164" s="1175"/>
      <c r="BB164" s="1175"/>
      <c r="BC164" s="1175"/>
      <c r="BD164" s="1175"/>
      <c r="BE164" s="1175"/>
      <c r="BF164" s="1175"/>
      <c r="BG164" s="1175"/>
      <c r="BH164" s="1175"/>
      <c r="BI164" s="1175"/>
      <c r="BJ164" s="1175"/>
      <c r="BK164" s="1175"/>
      <c r="BL164" s="1175"/>
      <c r="BM164" s="1175"/>
      <c r="BN164" s="1175"/>
      <c r="BO164" s="1175"/>
      <c r="BP164" s="1175"/>
      <c r="BQ164" s="1175"/>
      <c r="BR164" s="1175"/>
      <c r="BS164" s="1175"/>
      <c r="BT164" s="1175"/>
      <c r="BU164" s="1175"/>
      <c r="BV164" s="1175"/>
      <c r="BW164" s="1175"/>
      <c r="BX164" s="1175"/>
      <c r="BY164" s="1175"/>
      <c r="BZ164" s="1175"/>
      <c r="CA164" s="1175"/>
      <c r="CB164" s="1175"/>
      <c r="CC164" s="1175"/>
      <c r="CD164" s="1175"/>
      <c r="CE164" s="1175"/>
      <c r="CF164" s="1175"/>
      <c r="CG164" s="1175"/>
      <c r="CH164" s="1175"/>
      <c r="CI164" s="1175"/>
      <c r="CJ164" s="1175"/>
      <c r="CK164" s="1175"/>
      <c r="CL164" s="1175"/>
      <c r="CM164" s="1175"/>
      <c r="CN164" s="1175"/>
      <c r="CO164" s="1175"/>
      <c r="CP164" s="1175"/>
      <c r="CQ164" s="1175"/>
      <c r="CR164" s="1175"/>
      <c r="CS164" s="1175"/>
      <c r="CT164" s="1175"/>
      <c r="CU164" s="1175"/>
      <c r="CV164" s="1175"/>
      <c r="CW164" s="1175"/>
      <c r="CX164" s="1175"/>
      <c r="CY164" s="1175"/>
      <c r="CZ164" s="1175"/>
      <c r="DA164" s="1175"/>
      <c r="DB164" s="1175"/>
      <c r="DC164" s="1175"/>
      <c r="DD164" s="1175"/>
      <c r="DE164" s="1175"/>
      <c r="DF164" s="1175"/>
      <c r="DG164" s="1175"/>
      <c r="DH164" s="1175"/>
      <c r="DI164" s="1175"/>
      <c r="DJ164" s="1175"/>
      <c r="DK164" s="1175"/>
      <c r="DL164" s="1175"/>
      <c r="DM164" s="1175"/>
      <c r="DN164" s="1175"/>
      <c r="DO164" s="1175"/>
      <c r="DP164" s="1175"/>
      <c r="DQ164" s="1175"/>
      <c r="DR164" s="1175"/>
      <c r="DS164" s="1175"/>
    </row>
    <row r="165" spans="5:123" s="1187" customFormat="1" ht="18" customHeight="1" x14ac:dyDescent="0.3">
      <c r="E165" s="1175"/>
      <c r="F165" s="1175"/>
      <c r="G165" s="1175"/>
      <c r="H165" s="1175"/>
      <c r="I165" s="1175"/>
      <c r="J165" s="1175"/>
      <c r="K165" s="1175"/>
      <c r="L165" s="1175"/>
      <c r="M165" s="1175"/>
      <c r="N165" s="1175"/>
      <c r="O165" s="1175"/>
      <c r="P165" s="1175"/>
      <c r="Q165" s="1175"/>
      <c r="R165" s="1175"/>
      <c r="S165" s="1175"/>
      <c r="T165" s="1175"/>
      <c r="U165" s="1175"/>
      <c r="V165" s="1175"/>
      <c r="W165" s="1175"/>
      <c r="X165" s="1175"/>
      <c r="Y165" s="1175"/>
      <c r="Z165" s="1175"/>
      <c r="AA165" s="1175"/>
      <c r="AB165" s="1175"/>
      <c r="AC165" s="1175"/>
      <c r="AD165" s="1175"/>
      <c r="AE165" s="1175"/>
      <c r="AF165" s="1175"/>
      <c r="AG165" s="1175"/>
      <c r="AH165" s="1175"/>
      <c r="AI165" s="1175"/>
      <c r="AJ165" s="1175"/>
      <c r="AK165" s="1175"/>
      <c r="AL165" s="1175"/>
      <c r="AM165" s="1175"/>
      <c r="AN165" s="1175"/>
      <c r="AO165" s="1175"/>
      <c r="AP165" s="1175"/>
      <c r="AQ165" s="1175"/>
      <c r="AR165" s="1175"/>
      <c r="AS165" s="1175"/>
      <c r="AT165" s="1175"/>
      <c r="AU165" s="1175"/>
      <c r="AV165" s="1175"/>
      <c r="AW165" s="1175"/>
      <c r="AX165" s="1175"/>
      <c r="AY165" s="1175"/>
      <c r="AZ165" s="1175"/>
      <c r="BA165" s="1175"/>
      <c r="BB165" s="1175"/>
      <c r="BC165" s="1175"/>
      <c r="BD165" s="1175"/>
      <c r="BE165" s="1175"/>
      <c r="BF165" s="1175"/>
      <c r="BG165" s="1175"/>
      <c r="BH165" s="1175"/>
      <c r="BI165" s="1175"/>
      <c r="BJ165" s="1175"/>
      <c r="BK165" s="1175"/>
      <c r="BL165" s="1175"/>
      <c r="BM165" s="1175"/>
      <c r="BN165" s="1175"/>
      <c r="BO165" s="1175"/>
      <c r="BP165" s="1175"/>
      <c r="BQ165" s="1175"/>
      <c r="BR165" s="1175"/>
      <c r="BS165" s="1175"/>
      <c r="BT165" s="1175"/>
      <c r="BU165" s="1175"/>
      <c r="BV165" s="1175"/>
      <c r="BW165" s="1175"/>
      <c r="BX165" s="1175"/>
      <c r="BY165" s="1175"/>
      <c r="BZ165" s="1175"/>
      <c r="CA165" s="1175"/>
      <c r="CB165" s="1175"/>
      <c r="CC165" s="1175"/>
      <c r="CD165" s="1175"/>
      <c r="CE165" s="1175"/>
      <c r="CF165" s="1175"/>
      <c r="CG165" s="1175"/>
      <c r="CH165" s="1175"/>
      <c r="CI165" s="1175"/>
      <c r="CJ165" s="1175"/>
      <c r="CK165" s="1175"/>
      <c r="CL165" s="1175"/>
      <c r="CM165" s="1175"/>
      <c r="CN165" s="1175"/>
      <c r="CO165" s="1175"/>
      <c r="CP165" s="1175"/>
      <c r="CQ165" s="1175"/>
      <c r="CR165" s="1175"/>
      <c r="CS165" s="1175"/>
      <c r="CT165" s="1175"/>
      <c r="CU165" s="1175"/>
      <c r="CV165" s="1175"/>
      <c r="CW165" s="1175"/>
      <c r="CX165" s="1175"/>
      <c r="CY165" s="1175"/>
      <c r="CZ165" s="1175"/>
      <c r="DA165" s="1175"/>
      <c r="DB165" s="1175"/>
      <c r="DC165" s="1175"/>
      <c r="DD165" s="1175"/>
      <c r="DE165" s="1175"/>
      <c r="DF165" s="1175"/>
      <c r="DG165" s="1175"/>
      <c r="DH165" s="1175"/>
      <c r="DI165" s="1175"/>
      <c r="DJ165" s="1175"/>
      <c r="DK165" s="1175"/>
      <c r="DL165" s="1175"/>
      <c r="DM165" s="1175"/>
      <c r="DN165" s="1175"/>
      <c r="DO165" s="1175"/>
      <c r="DP165" s="1175"/>
      <c r="DQ165" s="1175"/>
      <c r="DR165" s="1175"/>
      <c r="DS165" s="1175"/>
    </row>
    <row r="166" spans="5:123" s="1187" customFormat="1" ht="18" customHeight="1" x14ac:dyDescent="0.3">
      <c r="E166" s="1175"/>
      <c r="F166" s="1175"/>
      <c r="G166" s="1175"/>
      <c r="H166" s="1175"/>
      <c r="I166" s="1175"/>
      <c r="J166" s="1175"/>
      <c r="K166" s="1175"/>
      <c r="L166" s="1175"/>
      <c r="M166" s="1175"/>
      <c r="N166" s="1175"/>
      <c r="O166" s="1175"/>
      <c r="P166" s="1175"/>
      <c r="Q166" s="1175"/>
      <c r="R166" s="1175"/>
      <c r="S166" s="1175"/>
      <c r="T166" s="1175"/>
      <c r="U166" s="1175"/>
      <c r="V166" s="1175"/>
      <c r="W166" s="1175"/>
      <c r="X166" s="1175"/>
      <c r="Y166" s="1175"/>
      <c r="Z166" s="1175"/>
      <c r="AA166" s="1175"/>
      <c r="AB166" s="1175"/>
      <c r="AC166" s="1175"/>
      <c r="AD166" s="1175"/>
      <c r="AE166" s="1175"/>
      <c r="AF166" s="1175"/>
      <c r="AG166" s="1175"/>
      <c r="AH166" s="1175"/>
      <c r="AI166" s="1175"/>
      <c r="AJ166" s="1175"/>
      <c r="AK166" s="1175"/>
      <c r="AL166" s="1175"/>
      <c r="AM166" s="1175"/>
      <c r="AN166" s="1175"/>
      <c r="AO166" s="1175"/>
      <c r="AP166" s="1175"/>
      <c r="AQ166" s="1175"/>
      <c r="AR166" s="1175"/>
      <c r="AS166" s="1175"/>
      <c r="AT166" s="1175"/>
      <c r="AU166" s="1175"/>
      <c r="AV166" s="1175"/>
      <c r="AW166" s="1175"/>
      <c r="AX166" s="1175"/>
      <c r="AY166" s="1175"/>
      <c r="AZ166" s="1175"/>
      <c r="BA166" s="1175"/>
      <c r="BB166" s="1175"/>
      <c r="BC166" s="1175"/>
      <c r="BD166" s="1175"/>
      <c r="BE166" s="1175"/>
      <c r="BF166" s="1175"/>
      <c r="BG166" s="1175"/>
      <c r="BH166" s="1175"/>
      <c r="BI166" s="1175"/>
      <c r="BJ166" s="1175"/>
      <c r="BK166" s="1175"/>
      <c r="BL166" s="1175"/>
      <c r="BM166" s="1175"/>
      <c r="BN166" s="1175"/>
      <c r="BO166" s="1175"/>
      <c r="BP166" s="1175"/>
      <c r="BQ166" s="1175"/>
      <c r="BR166" s="1175"/>
      <c r="BS166" s="1175"/>
      <c r="BT166" s="1175"/>
      <c r="BU166" s="1175"/>
      <c r="BV166" s="1175"/>
      <c r="BW166" s="1175"/>
      <c r="BX166" s="1175"/>
      <c r="BY166" s="1175"/>
      <c r="BZ166" s="1175"/>
      <c r="CA166" s="1175"/>
      <c r="CB166" s="1175"/>
      <c r="CC166" s="1175"/>
      <c r="CD166" s="1175"/>
      <c r="CE166" s="1175"/>
      <c r="CF166" s="1175"/>
      <c r="CG166" s="1175"/>
      <c r="CH166" s="1175"/>
      <c r="CI166" s="1175"/>
      <c r="CJ166" s="1175"/>
      <c r="CK166" s="1175"/>
      <c r="CL166" s="1175"/>
      <c r="CM166" s="1175"/>
      <c r="CN166" s="1175"/>
      <c r="CO166" s="1175"/>
      <c r="CP166" s="1175"/>
      <c r="CQ166" s="1175"/>
      <c r="CR166" s="1175"/>
      <c r="CS166" s="1175"/>
      <c r="CT166" s="1175"/>
      <c r="CU166" s="1175"/>
      <c r="CV166" s="1175"/>
      <c r="CW166" s="1175"/>
      <c r="CX166" s="1175"/>
      <c r="CY166" s="1175"/>
      <c r="CZ166" s="1175"/>
      <c r="DA166" s="1175"/>
      <c r="DB166" s="1175"/>
      <c r="DC166" s="1175"/>
      <c r="DD166" s="1175"/>
      <c r="DE166" s="1175"/>
      <c r="DF166" s="1175"/>
      <c r="DG166" s="1175"/>
      <c r="DH166" s="1175"/>
      <c r="DI166" s="1175"/>
      <c r="DJ166" s="1175"/>
      <c r="DK166" s="1175"/>
      <c r="DL166" s="1175"/>
      <c r="DM166" s="1175"/>
      <c r="DN166" s="1175"/>
      <c r="DO166" s="1175"/>
      <c r="DP166" s="1175"/>
      <c r="DQ166" s="1175"/>
      <c r="DR166" s="1175"/>
      <c r="DS166" s="1175"/>
    </row>
    <row r="167" spans="5:123" s="1187" customFormat="1" ht="18" customHeight="1" x14ac:dyDescent="0.3">
      <c r="E167" s="1175"/>
      <c r="F167" s="1175"/>
      <c r="G167" s="1175"/>
      <c r="H167" s="1175"/>
      <c r="I167" s="1175"/>
      <c r="J167" s="1175"/>
      <c r="K167" s="1175"/>
      <c r="L167" s="1175"/>
      <c r="M167" s="1175"/>
      <c r="N167" s="1175"/>
      <c r="O167" s="1175"/>
      <c r="P167" s="1175"/>
      <c r="Q167" s="1175"/>
      <c r="R167" s="1175"/>
      <c r="S167" s="1175"/>
      <c r="T167" s="1175"/>
      <c r="U167" s="1175"/>
      <c r="V167" s="1175"/>
      <c r="W167" s="1175"/>
      <c r="X167" s="1175"/>
      <c r="Y167" s="1175"/>
      <c r="Z167" s="1175"/>
      <c r="AA167" s="1175"/>
      <c r="AB167" s="1175"/>
      <c r="AC167" s="1175"/>
      <c r="AD167" s="1175"/>
      <c r="AE167" s="1175"/>
      <c r="AF167" s="1175"/>
      <c r="AG167" s="1175"/>
      <c r="AH167" s="1175"/>
      <c r="AI167" s="1175"/>
      <c r="AJ167" s="1175"/>
      <c r="AK167" s="1175"/>
      <c r="AL167" s="1175"/>
      <c r="AM167" s="1175"/>
      <c r="AN167" s="1175"/>
      <c r="AO167" s="1175"/>
      <c r="AP167" s="1175"/>
      <c r="AQ167" s="1175"/>
      <c r="AR167" s="1175"/>
      <c r="AS167" s="1175"/>
      <c r="AT167" s="1175"/>
      <c r="AU167" s="1175"/>
      <c r="AV167" s="1175"/>
      <c r="AW167" s="1175"/>
      <c r="AX167" s="1175"/>
      <c r="AY167" s="1175"/>
      <c r="AZ167" s="1175"/>
      <c r="BA167" s="1175"/>
      <c r="BB167" s="1175"/>
      <c r="BC167" s="1175"/>
      <c r="BD167" s="1175"/>
      <c r="BE167" s="1175"/>
      <c r="BF167" s="1175"/>
      <c r="BG167" s="1175"/>
      <c r="BH167" s="1175"/>
      <c r="BI167" s="1175"/>
      <c r="BJ167" s="1175"/>
      <c r="BK167" s="1175"/>
      <c r="BL167" s="1175"/>
      <c r="BM167" s="1175"/>
      <c r="BN167" s="1175"/>
      <c r="BO167" s="1175"/>
      <c r="BP167" s="1175"/>
      <c r="BQ167" s="1175"/>
      <c r="BR167" s="1175"/>
      <c r="BS167" s="1175"/>
      <c r="BT167" s="1175"/>
      <c r="BU167" s="1175"/>
      <c r="BV167" s="1175"/>
      <c r="BW167" s="1175"/>
      <c r="BX167" s="1175"/>
      <c r="BY167" s="1175"/>
      <c r="BZ167" s="1175"/>
      <c r="CA167" s="1175"/>
      <c r="CB167" s="1175"/>
      <c r="CC167" s="1175"/>
      <c r="CD167" s="1175"/>
      <c r="CE167" s="1175"/>
      <c r="CF167" s="1175"/>
      <c r="CG167" s="1175"/>
      <c r="CH167" s="1175"/>
      <c r="CI167" s="1175"/>
      <c r="CJ167" s="1175"/>
      <c r="CK167" s="1175"/>
      <c r="CL167" s="1175"/>
      <c r="CM167" s="1175"/>
      <c r="CN167" s="1175"/>
      <c r="CO167" s="1175"/>
      <c r="CP167" s="1175"/>
      <c r="CQ167" s="1175"/>
      <c r="CR167" s="1175"/>
      <c r="CS167" s="1175"/>
      <c r="CT167" s="1175"/>
      <c r="CU167" s="1175"/>
      <c r="CV167" s="1175"/>
      <c r="CW167" s="1175"/>
      <c r="CX167" s="1175"/>
      <c r="CY167" s="1175"/>
      <c r="CZ167" s="1175"/>
      <c r="DA167" s="1175"/>
      <c r="DB167" s="1175"/>
      <c r="DC167" s="1175"/>
      <c r="DD167" s="1175"/>
      <c r="DE167" s="1175"/>
      <c r="DF167" s="1175"/>
      <c r="DG167" s="1175"/>
      <c r="DH167" s="1175"/>
      <c r="DI167" s="1175"/>
      <c r="DJ167" s="1175"/>
      <c r="DK167" s="1175"/>
      <c r="DL167" s="1175"/>
      <c r="DM167" s="1175"/>
      <c r="DN167" s="1175"/>
      <c r="DO167" s="1175"/>
      <c r="DP167" s="1175"/>
      <c r="DQ167" s="1175"/>
      <c r="DR167" s="1175"/>
      <c r="DS167" s="1175"/>
    </row>
    <row r="168" spans="5:123" s="1187" customFormat="1" ht="18" customHeight="1" x14ac:dyDescent="0.3">
      <c r="E168" s="1175"/>
      <c r="F168" s="1175"/>
      <c r="G168" s="1175"/>
      <c r="H168" s="1175"/>
      <c r="I168" s="1175"/>
      <c r="J168" s="1175"/>
      <c r="K168" s="1175"/>
      <c r="L168" s="1175"/>
      <c r="M168" s="1175"/>
      <c r="N168" s="1175"/>
      <c r="O168" s="1175"/>
      <c r="P168" s="1175"/>
      <c r="Q168" s="1175"/>
      <c r="R168" s="1175"/>
      <c r="S168" s="1175"/>
      <c r="T168" s="1175"/>
      <c r="U168" s="1175"/>
      <c r="V168" s="1175"/>
      <c r="W168" s="1175"/>
      <c r="X168" s="1175"/>
      <c r="Y168" s="1175"/>
      <c r="Z168" s="1175"/>
      <c r="AA168" s="1175"/>
      <c r="AB168" s="1175"/>
      <c r="AC168" s="1175"/>
      <c r="AD168" s="1175"/>
      <c r="AE168" s="1175"/>
      <c r="AF168" s="1175"/>
      <c r="AG168" s="1175"/>
      <c r="AH168" s="1175"/>
      <c r="AI168" s="1175"/>
      <c r="AJ168" s="1175"/>
      <c r="AK168" s="1175"/>
      <c r="AL168" s="1175"/>
      <c r="AM168" s="1175"/>
      <c r="AN168" s="1175"/>
      <c r="AO168" s="1175"/>
      <c r="AP168" s="1175"/>
      <c r="AQ168" s="1175"/>
      <c r="AR168" s="1175"/>
      <c r="AS168" s="1175"/>
      <c r="AT168" s="1175"/>
      <c r="AU168" s="1175"/>
      <c r="AV168" s="1175"/>
      <c r="AW168" s="1175"/>
      <c r="AX168" s="1175"/>
      <c r="AY168" s="1175"/>
      <c r="AZ168" s="1175"/>
      <c r="BA168" s="1175"/>
      <c r="BB168" s="1175"/>
      <c r="BC168" s="1175"/>
      <c r="BD168" s="1175"/>
      <c r="BE168" s="1175"/>
      <c r="BF168" s="1175"/>
      <c r="BG168" s="1175"/>
      <c r="BH168" s="1175"/>
      <c r="BI168" s="1175"/>
      <c r="BJ168" s="1175"/>
      <c r="BK168" s="1175"/>
      <c r="BL168" s="1175"/>
      <c r="BM168" s="1175"/>
      <c r="BN168" s="1175"/>
      <c r="BO168" s="1175"/>
      <c r="BP168" s="1175"/>
      <c r="BQ168" s="1175"/>
      <c r="BR168" s="1175"/>
      <c r="BS168" s="1175"/>
      <c r="BT168" s="1175"/>
      <c r="BU168" s="1175"/>
      <c r="BV168" s="1175"/>
      <c r="BW168" s="1175"/>
      <c r="BX168" s="1175"/>
      <c r="BY168" s="1175"/>
      <c r="BZ168" s="1175"/>
      <c r="CA168" s="1175"/>
      <c r="CB168" s="1175"/>
      <c r="CC168" s="1175"/>
      <c r="CD168" s="1175"/>
      <c r="CE168" s="1175"/>
      <c r="CF168" s="1175"/>
      <c r="CG168" s="1175"/>
      <c r="CH168" s="1175"/>
      <c r="CI168" s="1175"/>
      <c r="CJ168" s="1175"/>
      <c r="CK168" s="1175"/>
      <c r="CL168" s="1175"/>
      <c r="CM168" s="1175"/>
      <c r="CN168" s="1175"/>
      <c r="CO168" s="1175"/>
      <c r="CP168" s="1175"/>
      <c r="CQ168" s="1175"/>
      <c r="CR168" s="1175"/>
      <c r="CS168" s="1175"/>
      <c r="CT168" s="1175"/>
      <c r="CU168" s="1175"/>
      <c r="CV168" s="1175"/>
      <c r="CW168" s="1175"/>
      <c r="CX168" s="1175"/>
      <c r="CY168" s="1175"/>
      <c r="CZ168" s="1175"/>
      <c r="DA168" s="1175"/>
      <c r="DB168" s="1175"/>
      <c r="DC168" s="1175"/>
      <c r="DD168" s="1175"/>
      <c r="DE168" s="1175"/>
      <c r="DF168" s="1175"/>
      <c r="DG168" s="1175"/>
      <c r="DH168" s="1175"/>
      <c r="DI168" s="1175"/>
      <c r="DJ168" s="1175"/>
      <c r="DK168" s="1175"/>
      <c r="DL168" s="1175"/>
      <c r="DM168" s="1175"/>
      <c r="DN168" s="1175"/>
      <c r="DO168" s="1175"/>
      <c r="DP168" s="1175"/>
      <c r="DQ168" s="1175"/>
      <c r="DR168" s="1175"/>
      <c r="DS168" s="1175"/>
    </row>
    <row r="169" spans="5:123" s="1187" customFormat="1" ht="18" customHeight="1" x14ac:dyDescent="0.3">
      <c r="E169" s="1175"/>
      <c r="F169" s="1175"/>
      <c r="G169" s="1175"/>
      <c r="H169" s="1175"/>
      <c r="I169" s="1175"/>
      <c r="J169" s="1175"/>
      <c r="K169" s="1175"/>
      <c r="L169" s="1175"/>
      <c r="M169" s="1175"/>
      <c r="N169" s="1175"/>
      <c r="O169" s="1175"/>
      <c r="P169" s="1175"/>
      <c r="Q169" s="1175"/>
      <c r="R169" s="1175"/>
      <c r="S169" s="1175"/>
      <c r="T169" s="1175"/>
      <c r="U169" s="1175"/>
      <c r="V169" s="1175"/>
      <c r="W169" s="1175"/>
      <c r="X169" s="1175"/>
      <c r="Y169" s="1175"/>
      <c r="Z169" s="1175"/>
      <c r="AA169" s="1175"/>
      <c r="AB169" s="1175"/>
      <c r="AC169" s="1175"/>
      <c r="AD169" s="1175"/>
      <c r="AE169" s="1175"/>
      <c r="AF169" s="1175"/>
      <c r="AG169" s="1175"/>
      <c r="AH169" s="1175"/>
      <c r="AI169" s="1175"/>
      <c r="AJ169" s="1175"/>
      <c r="AK169" s="1175"/>
      <c r="AL169" s="1175"/>
      <c r="AM169" s="1175"/>
      <c r="AN169" s="1175"/>
      <c r="AO169" s="1175"/>
      <c r="AP169" s="1175"/>
      <c r="AQ169" s="1175"/>
      <c r="AR169" s="1175"/>
      <c r="AS169" s="1175"/>
      <c r="AT169" s="1175"/>
      <c r="AU169" s="1175"/>
      <c r="AV169" s="1175"/>
      <c r="AW169" s="1175"/>
      <c r="AX169" s="1175"/>
      <c r="AY169" s="1175"/>
      <c r="AZ169" s="1175"/>
      <c r="BA169" s="1175"/>
      <c r="BB169" s="1175"/>
      <c r="BC169" s="1175"/>
      <c r="BD169" s="1175"/>
      <c r="BE169" s="1175"/>
      <c r="BF169" s="1175"/>
      <c r="BG169" s="1175"/>
      <c r="BH169" s="1175"/>
      <c r="BI169" s="1175"/>
      <c r="BJ169" s="1175"/>
      <c r="BK169" s="1175"/>
      <c r="BL169" s="1175"/>
      <c r="BM169" s="1175"/>
      <c r="BN169" s="1175"/>
      <c r="BO169" s="1175"/>
      <c r="BP169" s="1175"/>
      <c r="BQ169" s="1175"/>
      <c r="BR169" s="1175"/>
      <c r="BS169" s="1175"/>
      <c r="BT169" s="1175"/>
      <c r="BU169" s="1175"/>
      <c r="BV169" s="1175"/>
      <c r="BW169" s="1175"/>
      <c r="BX169" s="1175"/>
      <c r="BY169" s="1175"/>
      <c r="BZ169" s="1175"/>
      <c r="CA169" s="1175"/>
      <c r="CB169" s="1175"/>
      <c r="CC169" s="1175"/>
      <c r="CD169" s="1175"/>
      <c r="CE169" s="1175"/>
      <c r="CF169" s="1175"/>
      <c r="CG169" s="1175"/>
      <c r="CH169" s="1175"/>
      <c r="CI169" s="1175"/>
      <c r="CJ169" s="1175"/>
      <c r="CK169" s="1175"/>
      <c r="CL169" s="1175"/>
      <c r="CM169" s="1175"/>
      <c r="CN169" s="1175"/>
      <c r="CO169" s="1175"/>
      <c r="CP169" s="1175"/>
      <c r="CQ169" s="1175"/>
      <c r="CR169" s="1175"/>
      <c r="CS169" s="1175"/>
      <c r="CT169" s="1175"/>
      <c r="CU169" s="1175"/>
      <c r="CV169" s="1175"/>
      <c r="CW169" s="1175"/>
      <c r="CX169" s="1175"/>
      <c r="CY169" s="1175"/>
      <c r="CZ169" s="1175"/>
      <c r="DA169" s="1175"/>
      <c r="DB169" s="1175"/>
      <c r="DC169" s="1175"/>
      <c r="DD169" s="1175"/>
      <c r="DE169" s="1175"/>
      <c r="DF169" s="1175"/>
      <c r="DG169" s="1175"/>
      <c r="DH169" s="1175"/>
      <c r="DI169" s="1175"/>
      <c r="DJ169" s="1175"/>
      <c r="DK169" s="1175"/>
      <c r="DL169" s="1175"/>
      <c r="DM169" s="1175"/>
      <c r="DN169" s="1175"/>
      <c r="DO169" s="1175"/>
      <c r="DP169" s="1175"/>
      <c r="DQ169" s="1175"/>
      <c r="DR169" s="1175"/>
      <c r="DS169" s="1175"/>
    </row>
    <row r="170" spans="5:123" s="1187" customFormat="1" ht="18" customHeight="1" x14ac:dyDescent="0.3">
      <c r="E170" s="1175"/>
      <c r="F170" s="1175"/>
      <c r="G170" s="1175"/>
      <c r="H170" s="1175"/>
      <c r="I170" s="1175"/>
      <c r="J170" s="1175"/>
      <c r="K170" s="1175"/>
      <c r="L170" s="1175"/>
      <c r="M170" s="1175"/>
      <c r="N170" s="1175"/>
      <c r="O170" s="1175"/>
      <c r="P170" s="1175"/>
      <c r="Q170" s="1175"/>
      <c r="R170" s="1175"/>
      <c r="S170" s="1175"/>
      <c r="T170" s="1175"/>
      <c r="U170" s="1175"/>
      <c r="V170" s="1175"/>
      <c r="W170" s="1175"/>
      <c r="X170" s="1175"/>
      <c r="Y170" s="1175"/>
      <c r="Z170" s="1175"/>
      <c r="AA170" s="1175"/>
      <c r="AB170" s="1175"/>
      <c r="AC170" s="1175"/>
      <c r="AD170" s="1175"/>
      <c r="AE170" s="1175"/>
      <c r="AF170" s="1175"/>
      <c r="AG170" s="1175"/>
      <c r="AH170" s="1175"/>
      <c r="AI170" s="1175"/>
      <c r="AJ170" s="1175"/>
      <c r="AK170" s="1175"/>
      <c r="AL170" s="1175"/>
      <c r="AM170" s="1175"/>
      <c r="AN170" s="1175"/>
      <c r="AO170" s="1175"/>
      <c r="AP170" s="1175"/>
      <c r="AQ170" s="1175"/>
      <c r="AR170" s="1175"/>
      <c r="AS170" s="1175"/>
      <c r="AT170" s="1175"/>
      <c r="AU170" s="1175"/>
      <c r="AV170" s="1175"/>
      <c r="AW170" s="1175"/>
      <c r="AX170" s="1175"/>
      <c r="AY170" s="1175"/>
      <c r="AZ170" s="1175"/>
      <c r="BA170" s="1175"/>
      <c r="BB170" s="1175"/>
      <c r="BC170" s="1175"/>
      <c r="BD170" s="1175"/>
      <c r="BE170" s="1175"/>
      <c r="BF170" s="1175"/>
      <c r="BG170" s="1175"/>
      <c r="BH170" s="1175"/>
      <c r="BI170" s="1175"/>
      <c r="BJ170" s="1175"/>
      <c r="BK170" s="1175"/>
      <c r="BL170" s="1175"/>
      <c r="BM170" s="1175"/>
      <c r="BN170" s="1175"/>
      <c r="BO170" s="1175"/>
      <c r="BP170" s="1175"/>
      <c r="BQ170" s="1175"/>
      <c r="BR170" s="1175"/>
      <c r="BS170" s="1175"/>
      <c r="BT170" s="1175"/>
      <c r="BU170" s="1175"/>
      <c r="BV170" s="1175"/>
      <c r="BW170" s="1175"/>
      <c r="BX170" s="1175"/>
      <c r="BY170" s="1175"/>
      <c r="BZ170" s="1175"/>
      <c r="CA170" s="1175"/>
      <c r="CB170" s="1175"/>
      <c r="CC170" s="1175"/>
      <c r="CD170" s="1175"/>
      <c r="CE170" s="1175"/>
      <c r="CF170" s="1175"/>
      <c r="CG170" s="1175"/>
      <c r="CH170" s="1175"/>
      <c r="CI170" s="1175"/>
      <c r="CJ170" s="1175"/>
      <c r="CK170" s="1175"/>
      <c r="CL170" s="1175"/>
      <c r="CM170" s="1175"/>
      <c r="CN170" s="1175"/>
      <c r="CO170" s="1175"/>
      <c r="CP170" s="1175"/>
      <c r="CQ170" s="1175"/>
      <c r="CR170" s="1175"/>
      <c r="CS170" s="1175"/>
      <c r="CT170" s="1175"/>
      <c r="CU170" s="1175"/>
      <c r="CV170" s="1175"/>
      <c r="CW170" s="1175"/>
      <c r="CX170" s="1175"/>
      <c r="CY170" s="1175"/>
      <c r="CZ170" s="1175"/>
      <c r="DA170" s="1175"/>
      <c r="DB170" s="1175"/>
      <c r="DC170" s="1175"/>
      <c r="DD170" s="1175"/>
      <c r="DE170" s="1175"/>
      <c r="DF170" s="1175"/>
      <c r="DG170" s="1175"/>
      <c r="DH170" s="1175"/>
      <c r="DI170" s="1175"/>
      <c r="DJ170" s="1175"/>
      <c r="DK170" s="1175"/>
      <c r="DL170" s="1175"/>
      <c r="DM170" s="1175"/>
      <c r="DN170" s="1175"/>
      <c r="DO170" s="1175"/>
      <c r="DP170" s="1175"/>
      <c r="DQ170" s="1175"/>
      <c r="DR170" s="1175"/>
      <c r="DS170" s="1175"/>
    </row>
    <row r="171" spans="5:123" s="1187" customFormat="1" ht="18" customHeight="1" x14ac:dyDescent="0.3">
      <c r="E171" s="1175"/>
      <c r="F171" s="1175"/>
      <c r="G171" s="1175"/>
      <c r="H171" s="1175"/>
      <c r="I171" s="1175"/>
      <c r="J171" s="1175"/>
      <c r="K171" s="1175"/>
      <c r="L171" s="1175"/>
      <c r="M171" s="1175"/>
      <c r="N171" s="1175"/>
      <c r="O171" s="1175"/>
      <c r="P171" s="1175"/>
      <c r="Q171" s="1175"/>
      <c r="R171" s="1175"/>
      <c r="S171" s="1175"/>
      <c r="T171" s="1175"/>
      <c r="U171" s="1175"/>
      <c r="V171" s="1175"/>
      <c r="W171" s="1175"/>
      <c r="X171" s="1175"/>
      <c r="Y171" s="1175"/>
      <c r="Z171" s="1175"/>
      <c r="AA171" s="1175"/>
      <c r="AB171" s="1175"/>
      <c r="AC171" s="1175"/>
      <c r="AD171" s="1175"/>
      <c r="AE171" s="1175"/>
      <c r="AF171" s="1175"/>
      <c r="AG171" s="1175"/>
      <c r="AH171" s="1175"/>
      <c r="AI171" s="1175"/>
      <c r="AJ171" s="1175"/>
      <c r="AK171" s="1175"/>
      <c r="AL171" s="1175"/>
      <c r="AM171" s="1175"/>
      <c r="AN171" s="1175"/>
      <c r="AO171" s="1175"/>
      <c r="AP171" s="1175"/>
      <c r="AQ171" s="1175"/>
      <c r="AR171" s="1175"/>
      <c r="AS171" s="1175"/>
      <c r="AT171" s="1175"/>
      <c r="AU171" s="1175"/>
      <c r="AV171" s="1175"/>
      <c r="AW171" s="1175"/>
      <c r="AX171" s="1175"/>
      <c r="AY171" s="1175"/>
      <c r="AZ171" s="1175"/>
      <c r="BA171" s="1175"/>
      <c r="BB171" s="1175"/>
      <c r="BC171" s="1175"/>
      <c r="BD171" s="1175"/>
      <c r="BE171" s="1175"/>
      <c r="BF171" s="1175"/>
      <c r="BG171" s="1175"/>
      <c r="BH171" s="1175"/>
      <c r="BI171" s="1175"/>
      <c r="BJ171" s="1175"/>
      <c r="BK171" s="1175"/>
      <c r="BL171" s="1175"/>
      <c r="BM171" s="1175"/>
      <c r="BN171" s="1175"/>
      <c r="BO171" s="1175"/>
      <c r="BP171" s="1175"/>
      <c r="BQ171" s="1175"/>
      <c r="BR171" s="1175"/>
      <c r="BS171" s="1175"/>
      <c r="BT171" s="1175"/>
      <c r="BU171" s="1175"/>
      <c r="BV171" s="1175"/>
      <c r="BW171" s="1175"/>
      <c r="BX171" s="1175"/>
      <c r="BY171" s="1175"/>
      <c r="BZ171" s="1175"/>
      <c r="CA171" s="1175"/>
      <c r="CB171" s="1175"/>
      <c r="CC171" s="1175"/>
      <c r="CD171" s="1175"/>
      <c r="CE171" s="1175"/>
      <c r="CF171" s="1175"/>
      <c r="CG171" s="1175"/>
      <c r="CH171" s="1175"/>
      <c r="CI171" s="1175"/>
      <c r="CJ171" s="1175"/>
      <c r="CK171" s="1175"/>
      <c r="CL171" s="1175"/>
      <c r="CM171" s="1175"/>
      <c r="CN171" s="1175"/>
      <c r="CO171" s="1175"/>
      <c r="CP171" s="1175"/>
      <c r="CQ171" s="1175"/>
      <c r="CR171" s="1175"/>
      <c r="CS171" s="1175"/>
      <c r="CT171" s="1175"/>
      <c r="CU171" s="1175"/>
      <c r="CV171" s="1175"/>
      <c r="CW171" s="1175"/>
      <c r="CX171" s="1175"/>
      <c r="CY171" s="1175"/>
      <c r="CZ171" s="1175"/>
      <c r="DA171" s="1175"/>
      <c r="DB171" s="1175"/>
      <c r="DC171" s="1175"/>
      <c r="DD171" s="1175"/>
      <c r="DE171" s="1175"/>
      <c r="DF171" s="1175"/>
      <c r="DG171" s="1175"/>
      <c r="DH171" s="1175"/>
      <c r="DI171" s="1175"/>
      <c r="DJ171" s="1175"/>
      <c r="DK171" s="1175"/>
      <c r="DL171" s="1175"/>
      <c r="DM171" s="1175"/>
      <c r="DN171" s="1175"/>
      <c r="DO171" s="1175"/>
      <c r="DP171" s="1175"/>
      <c r="DQ171" s="1175"/>
      <c r="DR171" s="1175"/>
      <c r="DS171" s="1175"/>
    </row>
    <row r="172" spans="5:123" s="1187" customFormat="1" ht="18" customHeight="1" x14ac:dyDescent="0.3">
      <c r="E172" s="1175"/>
      <c r="F172" s="1175"/>
      <c r="G172" s="1175"/>
      <c r="H172" s="1175"/>
      <c r="I172" s="1175"/>
      <c r="J172" s="1175"/>
      <c r="K172" s="1175"/>
      <c r="L172" s="1175"/>
      <c r="M172" s="1175"/>
      <c r="N172" s="1175"/>
      <c r="O172" s="1175"/>
      <c r="P172" s="1175"/>
      <c r="Q172" s="1175"/>
      <c r="R172" s="1175"/>
      <c r="S172" s="1175"/>
      <c r="T172" s="1175"/>
      <c r="U172" s="1175"/>
      <c r="V172" s="1175"/>
      <c r="W172" s="1175"/>
      <c r="X172" s="1175"/>
      <c r="Y172" s="1175"/>
      <c r="Z172" s="1175"/>
      <c r="AA172" s="1175"/>
      <c r="AB172" s="1175"/>
      <c r="AC172" s="1175"/>
      <c r="AD172" s="1175"/>
      <c r="AE172" s="1175"/>
      <c r="AF172" s="1175"/>
      <c r="AG172" s="1175"/>
      <c r="AH172" s="1175"/>
      <c r="AI172" s="1175"/>
      <c r="AJ172" s="1175"/>
      <c r="AK172" s="1175"/>
      <c r="AL172" s="1175"/>
      <c r="AM172" s="1175"/>
      <c r="AN172" s="1175"/>
      <c r="AO172" s="1175"/>
      <c r="AP172" s="1175"/>
      <c r="AQ172" s="1175"/>
      <c r="AR172" s="1175"/>
      <c r="AS172" s="1175"/>
      <c r="AT172" s="1175"/>
      <c r="AU172" s="1175"/>
      <c r="AV172" s="1175"/>
      <c r="AW172" s="1175"/>
      <c r="AX172" s="1175"/>
      <c r="AY172" s="1175"/>
      <c r="AZ172" s="1175"/>
      <c r="BA172" s="1175"/>
      <c r="BB172" s="1175"/>
      <c r="BC172" s="1175"/>
      <c r="BD172" s="1175"/>
      <c r="BE172" s="1175"/>
      <c r="BF172" s="1175"/>
      <c r="BG172" s="1175"/>
      <c r="BH172" s="1175"/>
      <c r="BI172" s="1175"/>
      <c r="BJ172" s="1175"/>
      <c r="BK172" s="1175"/>
      <c r="BL172" s="1175"/>
      <c r="BM172" s="1175"/>
      <c r="BN172" s="1175"/>
      <c r="BO172" s="1175"/>
      <c r="BP172" s="1175"/>
      <c r="BQ172" s="1175"/>
      <c r="BR172" s="1175"/>
      <c r="BS172" s="1175"/>
      <c r="BT172" s="1175"/>
      <c r="BU172" s="1175"/>
      <c r="BV172" s="1175"/>
      <c r="BW172" s="1175"/>
      <c r="BX172" s="1175"/>
      <c r="BY172" s="1175"/>
      <c r="BZ172" s="1175"/>
      <c r="CA172" s="1175"/>
      <c r="CB172" s="1175"/>
      <c r="CC172" s="1175"/>
      <c r="CD172" s="1175"/>
      <c r="CE172" s="1175"/>
      <c r="CF172" s="1175"/>
      <c r="CG172" s="1175"/>
      <c r="CH172" s="1175"/>
      <c r="CI172" s="1175"/>
      <c r="CJ172" s="1175"/>
      <c r="CK172" s="1175"/>
      <c r="CL172" s="1175"/>
      <c r="CM172" s="1175"/>
      <c r="CN172" s="1175"/>
      <c r="CO172" s="1175"/>
      <c r="CP172" s="1175"/>
      <c r="CQ172" s="1175"/>
      <c r="CR172" s="1175"/>
      <c r="CS172" s="1175"/>
      <c r="CT172" s="1175"/>
      <c r="CU172" s="1175"/>
      <c r="CV172" s="1175"/>
      <c r="CW172" s="1175"/>
      <c r="CX172" s="1175"/>
      <c r="CY172" s="1175"/>
      <c r="CZ172" s="1175"/>
      <c r="DA172" s="1175"/>
      <c r="DB172" s="1175"/>
      <c r="DC172" s="1175"/>
      <c r="DD172" s="1175"/>
      <c r="DE172" s="1175"/>
      <c r="DF172" s="1175"/>
      <c r="DG172" s="1175"/>
      <c r="DH172" s="1175"/>
      <c r="DI172" s="1175"/>
      <c r="DJ172" s="1175"/>
      <c r="DK172" s="1175"/>
      <c r="DL172" s="1175"/>
      <c r="DM172" s="1175"/>
      <c r="DN172" s="1175"/>
      <c r="DO172" s="1175"/>
      <c r="DP172" s="1175"/>
      <c r="DQ172" s="1175"/>
      <c r="DR172" s="1175"/>
      <c r="DS172" s="1175"/>
    </row>
    <row r="173" spans="5:123" s="1187" customFormat="1" ht="18" customHeight="1" x14ac:dyDescent="0.3">
      <c r="E173" s="1175"/>
      <c r="F173" s="1175"/>
      <c r="G173" s="1175"/>
      <c r="H173" s="1175"/>
      <c r="I173" s="1175"/>
      <c r="J173" s="1175"/>
      <c r="K173" s="1175"/>
      <c r="L173" s="1175"/>
      <c r="M173" s="1175"/>
      <c r="N173" s="1175"/>
      <c r="O173" s="1175"/>
      <c r="P173" s="1175"/>
      <c r="Q173" s="1175"/>
      <c r="R173" s="1175"/>
      <c r="S173" s="1175"/>
      <c r="T173" s="1175"/>
      <c r="U173" s="1175"/>
      <c r="V173" s="1175"/>
      <c r="W173" s="1175"/>
      <c r="X173" s="1175"/>
      <c r="Y173" s="1175"/>
      <c r="Z173" s="1175"/>
      <c r="AA173" s="1175"/>
      <c r="AB173" s="1175"/>
      <c r="AC173" s="1175"/>
      <c r="AD173" s="1175"/>
      <c r="AE173" s="1175"/>
      <c r="AF173" s="1175"/>
      <c r="AG173" s="1175"/>
      <c r="AH173" s="1175"/>
      <c r="AI173" s="1175"/>
      <c r="AJ173" s="1175"/>
      <c r="AK173" s="1175"/>
      <c r="AL173" s="1175"/>
      <c r="AM173" s="1175"/>
      <c r="AN173" s="1175"/>
      <c r="AO173" s="1175"/>
      <c r="AP173" s="1175"/>
      <c r="AQ173" s="1175"/>
      <c r="AR173" s="1175"/>
      <c r="AS173" s="1175"/>
      <c r="AT173" s="1175"/>
      <c r="AU173" s="1175"/>
      <c r="AV173" s="1175"/>
      <c r="AW173" s="1175"/>
      <c r="AX173" s="1175"/>
      <c r="AY173" s="1175"/>
      <c r="AZ173" s="1175"/>
      <c r="BA173" s="1175"/>
      <c r="BB173" s="1175"/>
      <c r="BC173" s="1175"/>
      <c r="BD173" s="1175"/>
      <c r="BE173" s="1175"/>
      <c r="BF173" s="1175"/>
      <c r="BG173" s="1175"/>
      <c r="BH173" s="1175"/>
      <c r="BI173" s="1175"/>
      <c r="BJ173" s="1175"/>
      <c r="BK173" s="1175"/>
      <c r="BL173" s="1175"/>
      <c r="BM173" s="1175"/>
      <c r="BN173" s="1175"/>
      <c r="BO173" s="1175"/>
      <c r="BP173" s="1175"/>
      <c r="BQ173" s="1175"/>
      <c r="BR173" s="1175"/>
      <c r="BS173" s="1175"/>
      <c r="BT173" s="1175"/>
      <c r="BU173" s="1175"/>
      <c r="BV173" s="1175"/>
      <c r="BW173" s="1175"/>
      <c r="BX173" s="1175"/>
      <c r="BY173" s="1175"/>
      <c r="BZ173" s="1175"/>
      <c r="CA173" s="1175"/>
      <c r="CB173" s="1175"/>
      <c r="CC173" s="1175"/>
      <c r="CD173" s="1175"/>
      <c r="CE173" s="1175"/>
      <c r="CF173" s="1175"/>
      <c r="CG173" s="1175"/>
      <c r="CH173" s="1175"/>
      <c r="CI173" s="1175"/>
      <c r="CJ173" s="1175"/>
      <c r="CK173" s="1175"/>
      <c r="CL173" s="1175"/>
      <c r="CM173" s="1175"/>
      <c r="CN173" s="1175"/>
      <c r="CO173" s="1175"/>
      <c r="CP173" s="1175"/>
      <c r="CQ173" s="1175"/>
      <c r="CR173" s="1175"/>
      <c r="CS173" s="1175"/>
      <c r="CT173" s="1175"/>
      <c r="CU173" s="1175"/>
      <c r="CV173" s="1175"/>
      <c r="CW173" s="1175"/>
      <c r="CX173" s="1175"/>
      <c r="CY173" s="1175"/>
      <c r="CZ173" s="1175"/>
      <c r="DA173" s="1175"/>
      <c r="DB173" s="1175"/>
      <c r="DC173" s="1175"/>
      <c r="DD173" s="1175"/>
      <c r="DE173" s="1175"/>
      <c r="DF173" s="1175"/>
      <c r="DG173" s="1175"/>
      <c r="DH173" s="1175"/>
      <c r="DI173" s="1175"/>
      <c r="DJ173" s="1175"/>
      <c r="DK173" s="1175"/>
      <c r="DL173" s="1175"/>
      <c r="DM173" s="1175"/>
      <c r="DN173" s="1175"/>
      <c r="DO173" s="1175"/>
      <c r="DP173" s="1175"/>
      <c r="DQ173" s="1175"/>
      <c r="DR173" s="1175"/>
      <c r="DS173" s="1175"/>
    </row>
    <row r="174" spans="5:123" s="1187" customFormat="1" ht="18" customHeight="1" x14ac:dyDescent="0.3">
      <c r="E174" s="1175"/>
      <c r="F174" s="1175"/>
      <c r="G174" s="1175"/>
      <c r="H174" s="1175"/>
      <c r="I174" s="1175"/>
      <c r="J174" s="1175"/>
      <c r="K174" s="1175"/>
      <c r="L174" s="1175"/>
      <c r="M174" s="1175"/>
      <c r="N174" s="1175"/>
      <c r="O174" s="1175"/>
      <c r="P174" s="1175"/>
      <c r="Q174" s="1175"/>
      <c r="R174" s="1175"/>
      <c r="S174" s="1175"/>
      <c r="T174" s="1175"/>
      <c r="U174" s="1175"/>
      <c r="V174" s="1175"/>
      <c r="W174" s="1175"/>
      <c r="X174" s="1175"/>
      <c r="Y174" s="1175"/>
      <c r="Z174" s="1175"/>
      <c r="AA174" s="1175"/>
      <c r="AB174" s="1175"/>
      <c r="AC174" s="1175"/>
      <c r="AD174" s="1175"/>
      <c r="AE174" s="1175"/>
      <c r="AF174" s="1175"/>
      <c r="AG174" s="1175"/>
      <c r="AH174" s="1175"/>
      <c r="AI174" s="1175"/>
      <c r="AJ174" s="1175"/>
      <c r="AK174" s="1175"/>
      <c r="AL174" s="1175"/>
      <c r="AM174" s="1175"/>
      <c r="AN174" s="1175"/>
      <c r="AO174" s="1175"/>
      <c r="AP174" s="1175"/>
      <c r="AQ174" s="1175"/>
      <c r="AR174" s="1175"/>
      <c r="AS174" s="1175"/>
      <c r="AT174" s="1175"/>
      <c r="AU174" s="1175"/>
      <c r="AV174" s="1175"/>
      <c r="AW174" s="1175"/>
      <c r="AX174" s="1175"/>
      <c r="AY174" s="1175"/>
      <c r="AZ174" s="1175"/>
      <c r="BA174" s="1175"/>
      <c r="BB174" s="1175"/>
      <c r="BC174" s="1175"/>
      <c r="BD174" s="1175"/>
      <c r="BE174" s="1175"/>
      <c r="BF174" s="1175"/>
      <c r="BG174" s="1175"/>
      <c r="BH174" s="1175"/>
      <c r="BI174" s="1175"/>
      <c r="BJ174" s="1175"/>
      <c r="BK174" s="1175"/>
      <c r="BL174" s="1175"/>
      <c r="BM174" s="1175"/>
      <c r="BN174" s="1175"/>
      <c r="BO174" s="1175"/>
      <c r="BP174" s="1175"/>
      <c r="BQ174" s="1175"/>
      <c r="BR174" s="1175"/>
      <c r="BS174" s="1175"/>
      <c r="BT174" s="1175"/>
      <c r="BU174" s="1175"/>
      <c r="BV174" s="1175"/>
      <c r="BW174" s="1175"/>
      <c r="BX174" s="1175"/>
      <c r="BY174" s="1175"/>
      <c r="BZ174" s="1175"/>
      <c r="CA174" s="1175"/>
      <c r="CB174" s="1175"/>
      <c r="CC174" s="1175"/>
      <c r="CD174" s="1175"/>
      <c r="CE174" s="1175"/>
      <c r="CF174" s="1175"/>
      <c r="CG174" s="1175"/>
      <c r="CH174" s="1175"/>
      <c r="CI174" s="1175"/>
      <c r="CJ174" s="1175"/>
      <c r="CK174" s="1175"/>
      <c r="CL174" s="1175"/>
      <c r="CM174" s="1175"/>
      <c r="CN174" s="1175"/>
      <c r="CO174" s="1175"/>
      <c r="CP174" s="1175"/>
      <c r="CQ174" s="1175"/>
      <c r="CR174" s="1175"/>
      <c r="CS174" s="1175"/>
      <c r="CT174" s="1175"/>
      <c r="CU174" s="1175"/>
      <c r="CV174" s="1175"/>
      <c r="CW174" s="1175"/>
      <c r="CX174" s="1175"/>
      <c r="CY174" s="1175"/>
      <c r="CZ174" s="1175"/>
      <c r="DA174" s="1175"/>
      <c r="DB174" s="1175"/>
      <c r="DC174" s="1175"/>
      <c r="DD174" s="1175"/>
      <c r="DE174" s="1175"/>
      <c r="DF174" s="1175"/>
      <c r="DG174" s="1175"/>
      <c r="DH174" s="1175"/>
      <c r="DI174" s="1175"/>
      <c r="DJ174" s="1175"/>
      <c r="DK174" s="1175"/>
      <c r="DL174" s="1175"/>
      <c r="DM174" s="1175"/>
      <c r="DN174" s="1175"/>
      <c r="DO174" s="1175"/>
      <c r="DP174" s="1175"/>
      <c r="DQ174" s="1175"/>
      <c r="DR174" s="1175"/>
      <c r="DS174" s="1175"/>
    </row>
    <row r="175" spans="5:123" s="1187" customFormat="1" ht="18" customHeight="1" x14ac:dyDescent="0.3">
      <c r="E175" s="1175"/>
      <c r="F175" s="1175"/>
      <c r="G175" s="1175"/>
      <c r="H175" s="1175"/>
      <c r="I175" s="1175"/>
      <c r="J175" s="1175"/>
      <c r="K175" s="1175"/>
      <c r="L175" s="1175"/>
      <c r="M175" s="1175"/>
      <c r="N175" s="1175"/>
      <c r="O175" s="1175"/>
      <c r="P175" s="1175"/>
      <c r="Q175" s="1175"/>
      <c r="R175" s="1175"/>
      <c r="S175" s="1175"/>
      <c r="T175" s="1175"/>
      <c r="U175" s="1175"/>
      <c r="V175" s="1175"/>
      <c r="W175" s="1175"/>
      <c r="X175" s="1175"/>
      <c r="Y175" s="1175"/>
      <c r="Z175" s="1175"/>
      <c r="AA175" s="1175"/>
      <c r="AB175" s="1175"/>
      <c r="AC175" s="1175"/>
      <c r="AD175" s="1175"/>
      <c r="AE175" s="1175"/>
      <c r="AF175" s="1175"/>
      <c r="AG175" s="1175"/>
      <c r="AH175" s="1175"/>
      <c r="AI175" s="1175"/>
      <c r="AJ175" s="1175"/>
      <c r="AK175" s="1175"/>
      <c r="AL175" s="1175"/>
      <c r="AM175" s="1175"/>
      <c r="AN175" s="1175"/>
      <c r="AO175" s="1175"/>
      <c r="AP175" s="1175"/>
      <c r="AQ175" s="1175"/>
      <c r="AR175" s="1175"/>
      <c r="AS175" s="1175"/>
      <c r="AT175" s="1175"/>
      <c r="AU175" s="1175"/>
      <c r="AV175" s="1175"/>
      <c r="AW175" s="1175"/>
      <c r="AX175" s="1175"/>
      <c r="AY175" s="1175"/>
      <c r="AZ175" s="1175"/>
      <c r="BA175" s="1175"/>
      <c r="BB175" s="1175"/>
      <c r="BC175" s="1175"/>
      <c r="BD175" s="1175"/>
      <c r="BE175" s="1175"/>
      <c r="BF175" s="1175"/>
      <c r="BG175" s="1175"/>
      <c r="BH175" s="1175"/>
      <c r="BI175" s="1175"/>
      <c r="BJ175" s="1175"/>
      <c r="BK175" s="1175"/>
      <c r="BL175" s="1175"/>
      <c r="BM175" s="1175"/>
      <c r="BN175" s="1175"/>
      <c r="BO175" s="1175"/>
      <c r="BP175" s="1175"/>
      <c r="BQ175" s="1175"/>
      <c r="BR175" s="1175"/>
      <c r="BS175" s="1175"/>
      <c r="BT175" s="1175"/>
      <c r="BU175" s="1175"/>
      <c r="BV175" s="1175"/>
      <c r="BW175" s="1175"/>
      <c r="BX175" s="1175"/>
      <c r="BY175" s="1175"/>
      <c r="BZ175" s="1175"/>
      <c r="CA175" s="1175"/>
      <c r="CB175" s="1175"/>
      <c r="CC175" s="1175"/>
      <c r="CD175" s="1175"/>
      <c r="CE175" s="1175"/>
      <c r="CF175" s="1175"/>
      <c r="CG175" s="1175"/>
      <c r="CH175" s="1175"/>
      <c r="CI175" s="1175"/>
      <c r="CJ175" s="1175"/>
      <c r="CK175" s="1175"/>
      <c r="CL175" s="1175"/>
      <c r="CM175" s="1175"/>
      <c r="CN175" s="1175"/>
      <c r="CO175" s="1175"/>
      <c r="CP175" s="1175"/>
      <c r="CQ175" s="1175"/>
      <c r="CR175" s="1175"/>
      <c r="CS175" s="1175"/>
      <c r="CT175" s="1175"/>
      <c r="CU175" s="1175"/>
      <c r="CV175" s="1175"/>
      <c r="CW175" s="1175"/>
      <c r="CX175" s="1175"/>
      <c r="CY175" s="1175"/>
      <c r="CZ175" s="1175"/>
      <c r="DA175" s="1175"/>
      <c r="DB175" s="1175"/>
      <c r="DC175" s="1175"/>
      <c r="DD175" s="1175"/>
      <c r="DE175" s="1175"/>
      <c r="DF175" s="1175"/>
      <c r="DG175" s="1175"/>
      <c r="DH175" s="1175"/>
      <c r="DI175" s="1175"/>
      <c r="DJ175" s="1175"/>
      <c r="DK175" s="1175"/>
      <c r="DL175" s="1175"/>
      <c r="DM175" s="1175"/>
      <c r="DN175" s="1175"/>
      <c r="DO175" s="1175"/>
      <c r="DP175" s="1175"/>
      <c r="DQ175" s="1175"/>
      <c r="DR175" s="1175"/>
      <c r="DS175" s="1175"/>
    </row>
    <row r="176" spans="5:123" s="1187" customFormat="1" ht="18" customHeight="1" x14ac:dyDescent="0.3">
      <c r="E176" s="1175"/>
      <c r="F176" s="1175"/>
      <c r="G176" s="1175"/>
      <c r="H176" s="1175"/>
      <c r="I176" s="1175"/>
      <c r="J176" s="1175"/>
      <c r="K176" s="1175"/>
      <c r="L176" s="1175"/>
      <c r="M176" s="1175"/>
      <c r="N176" s="1175"/>
      <c r="O176" s="1175"/>
      <c r="P176" s="1175"/>
      <c r="Q176" s="1175"/>
      <c r="R176" s="1175"/>
      <c r="S176" s="1175"/>
      <c r="T176" s="1175"/>
      <c r="U176" s="1175"/>
      <c r="V176" s="1175"/>
      <c r="W176" s="1175"/>
      <c r="X176" s="1175"/>
      <c r="Y176" s="1175"/>
      <c r="Z176" s="1175"/>
      <c r="AA176" s="1175"/>
      <c r="AB176" s="1175"/>
      <c r="AC176" s="1175"/>
      <c r="AD176" s="1175"/>
      <c r="AE176" s="1175"/>
      <c r="AF176" s="1175"/>
      <c r="AG176" s="1175"/>
      <c r="AH176" s="1175"/>
      <c r="AI176" s="1175"/>
      <c r="AJ176" s="1175"/>
      <c r="AK176" s="1175"/>
      <c r="AL176" s="1175"/>
      <c r="AM176" s="1175"/>
      <c r="AN176" s="1175"/>
      <c r="AO176" s="1175"/>
      <c r="AP176" s="1175"/>
      <c r="AQ176" s="1175"/>
      <c r="AR176" s="1175"/>
      <c r="AS176" s="1175"/>
      <c r="AT176" s="1175"/>
      <c r="AU176" s="1175"/>
      <c r="AV176" s="1175"/>
      <c r="AW176" s="1175"/>
      <c r="AX176" s="1175"/>
      <c r="AY176" s="1175"/>
      <c r="AZ176" s="1175"/>
      <c r="BA176" s="1175"/>
      <c r="BB176" s="1175"/>
      <c r="BC176" s="1175"/>
      <c r="BD176" s="1175"/>
      <c r="BE176" s="1175"/>
      <c r="BF176" s="1175"/>
      <c r="BG176" s="1175"/>
      <c r="BH176" s="1175"/>
      <c r="BI176" s="1175"/>
      <c r="BJ176" s="1175"/>
      <c r="BK176" s="1175"/>
      <c r="BL176" s="1175"/>
      <c r="BM176" s="1175"/>
      <c r="BN176" s="1175"/>
      <c r="BO176" s="1175"/>
      <c r="BP176" s="1175"/>
      <c r="BQ176" s="1175"/>
      <c r="BR176" s="1175"/>
      <c r="BS176" s="1175"/>
      <c r="BT176" s="1175"/>
      <c r="BU176" s="1175"/>
      <c r="BV176" s="1175"/>
      <c r="BW176" s="1175"/>
      <c r="BX176" s="1175"/>
      <c r="BY176" s="1175"/>
      <c r="BZ176" s="1175"/>
      <c r="CA176" s="1175"/>
      <c r="CB176" s="1175"/>
      <c r="CC176" s="1175"/>
      <c r="CD176" s="1175"/>
      <c r="CE176" s="1175"/>
      <c r="CF176" s="1175"/>
      <c r="CG176" s="1175"/>
      <c r="CH176" s="1175"/>
      <c r="CI176" s="1175"/>
      <c r="CJ176" s="1175"/>
      <c r="CK176" s="1175"/>
      <c r="CL176" s="1175"/>
      <c r="CM176" s="1175"/>
      <c r="CN176" s="1175"/>
      <c r="CO176" s="1175"/>
      <c r="CP176" s="1175"/>
      <c r="CQ176" s="1175"/>
      <c r="CR176" s="1175"/>
      <c r="CS176" s="1175"/>
      <c r="CT176" s="1175"/>
      <c r="CU176" s="1175"/>
      <c r="CV176" s="1175"/>
      <c r="CW176" s="1175"/>
      <c r="CX176" s="1175"/>
      <c r="CY176" s="1175"/>
      <c r="CZ176" s="1175"/>
      <c r="DA176" s="1175"/>
      <c r="DB176" s="1175"/>
      <c r="DC176" s="1175"/>
      <c r="DD176" s="1175"/>
      <c r="DE176" s="1175"/>
      <c r="DF176" s="1175"/>
      <c r="DG176" s="1175"/>
      <c r="DH176" s="1175"/>
      <c r="DI176" s="1175"/>
      <c r="DJ176" s="1175"/>
      <c r="DK176" s="1175"/>
      <c r="DL176" s="1175"/>
      <c r="DM176" s="1175"/>
      <c r="DN176" s="1175"/>
      <c r="DO176" s="1175"/>
      <c r="DP176" s="1175"/>
      <c r="DQ176" s="1175"/>
      <c r="DR176" s="1175"/>
      <c r="DS176" s="1175"/>
    </row>
    <row r="177" spans="5:123" s="1187" customFormat="1" ht="18" customHeight="1" x14ac:dyDescent="0.3">
      <c r="E177" s="1175"/>
      <c r="F177" s="1175"/>
      <c r="G177" s="1175"/>
      <c r="H177" s="1175"/>
      <c r="I177" s="1175"/>
      <c r="J177" s="1175"/>
      <c r="K177" s="1175"/>
      <c r="L177" s="1175"/>
      <c r="M177" s="1175"/>
      <c r="N177" s="1175"/>
      <c r="O177" s="1175"/>
      <c r="P177" s="1175"/>
      <c r="Q177" s="1175"/>
      <c r="R177" s="1175"/>
      <c r="S177" s="1175"/>
      <c r="T177" s="1175"/>
      <c r="U177" s="1175"/>
      <c r="V177" s="1175"/>
      <c r="W177" s="1175"/>
      <c r="X177" s="1175"/>
      <c r="Y177" s="1175"/>
      <c r="Z177" s="1175"/>
      <c r="AA177" s="1175"/>
      <c r="AB177" s="1175"/>
      <c r="AC177" s="1175"/>
      <c r="AD177" s="1175"/>
      <c r="AE177" s="1175"/>
      <c r="AF177" s="1175"/>
      <c r="AG177" s="1175"/>
      <c r="AH177" s="1175"/>
      <c r="AI177" s="1175"/>
      <c r="AJ177" s="1175"/>
      <c r="AK177" s="1175"/>
      <c r="AL177" s="1175"/>
      <c r="AM177" s="1175"/>
      <c r="AN177" s="1175"/>
      <c r="AO177" s="1175"/>
      <c r="AP177" s="1175"/>
      <c r="AQ177" s="1175"/>
      <c r="AR177" s="1175"/>
      <c r="AS177" s="1175"/>
      <c r="AT177" s="1175"/>
      <c r="AU177" s="1175"/>
      <c r="AV177" s="1175"/>
      <c r="AW177" s="1175"/>
      <c r="AX177" s="1175"/>
      <c r="AY177" s="1175"/>
      <c r="AZ177" s="1175"/>
      <c r="BA177" s="1175"/>
      <c r="BB177" s="1175"/>
      <c r="BC177" s="1175"/>
      <c r="BD177" s="1175"/>
      <c r="BE177" s="1175"/>
      <c r="BF177" s="1175"/>
      <c r="BG177" s="1175"/>
      <c r="BH177" s="1175"/>
      <c r="BI177" s="1175"/>
      <c r="BJ177" s="1175"/>
      <c r="BK177" s="1175"/>
      <c r="BL177" s="1175"/>
      <c r="BM177" s="1175"/>
      <c r="BN177" s="1175"/>
      <c r="BO177" s="1175"/>
      <c r="BP177" s="1175"/>
      <c r="BQ177" s="1175"/>
      <c r="BR177" s="1175"/>
      <c r="BS177" s="1175"/>
      <c r="BT177" s="1175"/>
      <c r="BU177" s="1175"/>
      <c r="BV177" s="1175"/>
      <c r="BW177" s="1175"/>
      <c r="BX177" s="1175"/>
      <c r="BY177" s="1175"/>
      <c r="BZ177" s="1175"/>
      <c r="CA177" s="1175"/>
      <c r="CB177" s="1175"/>
      <c r="CC177" s="1175"/>
      <c r="CD177" s="1175"/>
      <c r="CE177" s="1175"/>
      <c r="CF177" s="1175"/>
      <c r="CG177" s="1175"/>
      <c r="CH177" s="1175"/>
      <c r="CI177" s="1175"/>
      <c r="CJ177" s="1175"/>
      <c r="CK177" s="1175"/>
      <c r="CL177" s="1175"/>
      <c r="CM177" s="1175"/>
      <c r="CN177" s="1175"/>
      <c r="CO177" s="1175"/>
      <c r="CP177" s="1175"/>
      <c r="CQ177" s="1175"/>
      <c r="CR177" s="1175"/>
      <c r="CS177" s="1175"/>
      <c r="CT177" s="1175"/>
      <c r="CU177" s="1175"/>
      <c r="CV177" s="1175"/>
      <c r="CW177" s="1175"/>
      <c r="CX177" s="1175"/>
      <c r="CY177" s="1175"/>
      <c r="CZ177" s="1175"/>
      <c r="DA177" s="1175"/>
      <c r="DB177" s="1175"/>
      <c r="DC177" s="1175"/>
      <c r="DD177" s="1175"/>
      <c r="DE177" s="1175"/>
      <c r="DF177" s="1175"/>
      <c r="DG177" s="1175"/>
      <c r="DH177" s="1175"/>
      <c r="DI177" s="1175"/>
      <c r="DJ177" s="1175"/>
      <c r="DK177" s="1175"/>
      <c r="DL177" s="1175"/>
      <c r="DM177" s="1175"/>
      <c r="DN177" s="1175"/>
      <c r="DO177" s="1175"/>
      <c r="DP177" s="1175"/>
      <c r="DQ177" s="1175"/>
      <c r="DR177" s="1175"/>
      <c r="DS177" s="1175"/>
    </row>
    <row r="178" spans="5:123" s="1187" customFormat="1" ht="18" customHeight="1" x14ac:dyDescent="0.3">
      <c r="E178" s="1175"/>
      <c r="F178" s="1175"/>
      <c r="G178" s="1175"/>
      <c r="H178" s="1175"/>
      <c r="I178" s="1175"/>
      <c r="J178" s="1175"/>
      <c r="K178" s="1175"/>
      <c r="L178" s="1175"/>
      <c r="M178" s="1175"/>
      <c r="N178" s="1175"/>
      <c r="O178" s="1175"/>
      <c r="P178" s="1175"/>
      <c r="Q178" s="1175"/>
      <c r="R178" s="1175"/>
      <c r="S178" s="1175"/>
      <c r="T178" s="1175"/>
      <c r="U178" s="1175"/>
      <c r="V178" s="1175"/>
      <c r="W178" s="1175"/>
      <c r="X178" s="1175"/>
      <c r="Y178" s="1175"/>
      <c r="Z178" s="1175"/>
      <c r="AA178" s="1175"/>
      <c r="AB178" s="1175"/>
      <c r="AC178" s="1175"/>
      <c r="AD178" s="1175"/>
      <c r="AE178" s="1175"/>
      <c r="AF178" s="1175"/>
      <c r="AG178" s="1175"/>
      <c r="AH178" s="1175"/>
      <c r="AI178" s="1175"/>
      <c r="AJ178" s="1175"/>
      <c r="AK178" s="1175"/>
      <c r="AL178" s="1175"/>
      <c r="AM178" s="1175"/>
      <c r="AN178" s="1175"/>
      <c r="AO178" s="1175"/>
      <c r="AP178" s="1175"/>
      <c r="AQ178" s="1175"/>
      <c r="AR178" s="1175"/>
      <c r="AS178" s="1175"/>
      <c r="AT178" s="1175"/>
      <c r="AU178" s="1175"/>
      <c r="AV178" s="1175"/>
      <c r="AW178" s="1175"/>
      <c r="AX178" s="1175"/>
      <c r="AY178" s="1175"/>
      <c r="AZ178" s="1175"/>
      <c r="BA178" s="1175"/>
      <c r="BB178" s="1175"/>
      <c r="BC178" s="1175"/>
      <c r="BD178" s="1175"/>
      <c r="BE178" s="1175"/>
      <c r="BF178" s="1175"/>
      <c r="BG178" s="1175"/>
      <c r="BH178" s="1175"/>
      <c r="BI178" s="1175"/>
      <c r="BJ178" s="1175"/>
      <c r="BK178" s="1175"/>
      <c r="BL178" s="1175"/>
      <c r="BM178" s="1175"/>
      <c r="BN178" s="1175"/>
      <c r="BO178" s="1175"/>
      <c r="BP178" s="1175"/>
      <c r="BQ178" s="1175"/>
      <c r="BR178" s="1175"/>
      <c r="BS178" s="1175"/>
      <c r="BT178" s="1175"/>
      <c r="BU178" s="1175"/>
      <c r="BV178" s="1175"/>
      <c r="BW178" s="1175"/>
      <c r="BX178" s="1175"/>
      <c r="BY178" s="1175"/>
      <c r="BZ178" s="1175"/>
      <c r="CA178" s="1175"/>
      <c r="CB178" s="1175"/>
      <c r="CC178" s="1175"/>
      <c r="CD178" s="1175"/>
      <c r="CE178" s="1175"/>
      <c r="CF178" s="1175"/>
      <c r="CG178" s="1175"/>
      <c r="CH178" s="1175"/>
      <c r="CI178" s="1175"/>
      <c r="CJ178" s="1175"/>
      <c r="CK178" s="1175"/>
      <c r="CL178" s="1175"/>
      <c r="CM178" s="1175"/>
      <c r="CN178" s="1175"/>
      <c r="CO178" s="1175"/>
      <c r="CP178" s="1175"/>
      <c r="CQ178" s="1175"/>
      <c r="CR178" s="1175"/>
      <c r="CS178" s="1175"/>
      <c r="CT178" s="1175"/>
      <c r="CU178" s="1175"/>
      <c r="CV178" s="1175"/>
      <c r="CW178" s="1175"/>
      <c r="CX178" s="1175"/>
      <c r="CY178" s="1175"/>
      <c r="CZ178" s="1175"/>
      <c r="DA178" s="1175"/>
      <c r="DB178" s="1175"/>
      <c r="DC178" s="1175"/>
      <c r="DD178" s="1175"/>
      <c r="DE178" s="1175"/>
      <c r="DF178" s="1175"/>
      <c r="DG178" s="1175"/>
      <c r="DH178" s="1175"/>
      <c r="DI178" s="1175"/>
      <c r="DJ178" s="1175"/>
      <c r="DK178" s="1175"/>
      <c r="DL178" s="1175"/>
      <c r="DM178" s="1175"/>
      <c r="DN178" s="1175"/>
      <c r="DO178" s="1175"/>
      <c r="DP178" s="1175"/>
      <c r="DQ178" s="1175"/>
      <c r="DR178" s="1175"/>
      <c r="DS178" s="1175"/>
    </row>
    <row r="179" spans="5:123" s="1187" customFormat="1" ht="18" customHeight="1" x14ac:dyDescent="0.3">
      <c r="E179" s="1175"/>
      <c r="F179" s="1175"/>
      <c r="G179" s="1175"/>
      <c r="H179" s="1175"/>
      <c r="I179" s="1175"/>
      <c r="J179" s="1175"/>
      <c r="K179" s="1175"/>
      <c r="L179" s="1175"/>
      <c r="M179" s="1175"/>
      <c r="N179" s="1175"/>
      <c r="O179" s="1175"/>
      <c r="P179" s="1175"/>
      <c r="Q179" s="1175"/>
      <c r="R179" s="1175"/>
      <c r="S179" s="1175"/>
      <c r="T179" s="1175"/>
      <c r="U179" s="1175"/>
      <c r="V179" s="1175"/>
      <c r="W179" s="1175"/>
      <c r="X179" s="1175"/>
      <c r="Y179" s="1175"/>
      <c r="Z179" s="1175"/>
      <c r="AA179" s="1175"/>
      <c r="AB179" s="1175"/>
      <c r="AC179" s="1175"/>
      <c r="AD179" s="1175"/>
      <c r="AE179" s="1175"/>
      <c r="AF179" s="1175"/>
      <c r="AG179" s="1175"/>
      <c r="AH179" s="1175"/>
      <c r="AI179" s="1175"/>
      <c r="AJ179" s="1175"/>
      <c r="AK179" s="1175"/>
      <c r="AL179" s="1175"/>
      <c r="AM179" s="1175"/>
      <c r="AN179" s="1175"/>
      <c r="AO179" s="1175"/>
      <c r="AP179" s="1175"/>
      <c r="AQ179" s="1175"/>
      <c r="AR179" s="1175"/>
      <c r="AS179" s="1175"/>
      <c r="AT179" s="1175"/>
      <c r="AU179" s="1175"/>
      <c r="AV179" s="1175"/>
      <c r="AW179" s="1175"/>
      <c r="AX179" s="1175"/>
      <c r="AY179" s="1175"/>
      <c r="AZ179" s="1175"/>
      <c r="BA179" s="1175"/>
      <c r="BB179" s="1175"/>
      <c r="BC179" s="1175"/>
      <c r="BD179" s="1175"/>
      <c r="BE179" s="1175"/>
      <c r="BF179" s="1175"/>
      <c r="BG179" s="1175"/>
      <c r="BH179" s="1175"/>
      <c r="BI179" s="1175"/>
      <c r="BJ179" s="1175"/>
      <c r="BK179" s="1175"/>
      <c r="BL179" s="1175"/>
      <c r="BM179" s="1175"/>
      <c r="BN179" s="1175"/>
      <c r="BO179" s="1175"/>
      <c r="BP179" s="1175"/>
      <c r="BQ179" s="1175"/>
      <c r="BR179" s="1175"/>
      <c r="BS179" s="1175"/>
      <c r="BT179" s="1175"/>
      <c r="BU179" s="1175"/>
      <c r="BV179" s="1175"/>
      <c r="BW179" s="1175"/>
      <c r="BX179" s="1175"/>
      <c r="BY179" s="1175"/>
      <c r="BZ179" s="1175"/>
      <c r="CA179" s="1175"/>
      <c r="CB179" s="1175"/>
      <c r="CC179" s="1175"/>
      <c r="CD179" s="1175"/>
      <c r="CE179" s="1175"/>
      <c r="CF179" s="1175"/>
      <c r="CG179" s="1175"/>
      <c r="CH179" s="1175"/>
      <c r="CI179" s="1175"/>
      <c r="CJ179" s="1175"/>
      <c r="CK179" s="1175"/>
      <c r="CL179" s="1175"/>
      <c r="CM179" s="1175"/>
      <c r="CN179" s="1175"/>
      <c r="CO179" s="1175"/>
      <c r="CP179" s="1175"/>
      <c r="CQ179" s="1175"/>
      <c r="CR179" s="1175"/>
      <c r="CS179" s="1175"/>
      <c r="CT179" s="1175"/>
      <c r="CU179" s="1175"/>
      <c r="CV179" s="1175"/>
      <c r="CW179" s="1175"/>
      <c r="CX179" s="1175"/>
      <c r="CY179" s="1175"/>
      <c r="CZ179" s="1175"/>
      <c r="DA179" s="1175"/>
      <c r="DB179" s="1175"/>
      <c r="DC179" s="1175"/>
      <c r="DD179" s="1175"/>
      <c r="DE179" s="1175"/>
      <c r="DF179" s="1175"/>
      <c r="DG179" s="1175"/>
      <c r="DH179" s="1175"/>
      <c r="DI179" s="1175"/>
      <c r="DJ179" s="1175"/>
      <c r="DK179" s="1175"/>
      <c r="DL179" s="1175"/>
      <c r="DM179" s="1175"/>
      <c r="DN179" s="1175"/>
      <c r="DO179" s="1175"/>
      <c r="DP179" s="1175"/>
      <c r="DQ179" s="1175"/>
      <c r="DR179" s="1175"/>
      <c r="DS179" s="1175"/>
    </row>
    <row r="180" spans="5:123" s="1187" customFormat="1" ht="18" customHeight="1" x14ac:dyDescent="0.3">
      <c r="E180" s="1175"/>
      <c r="F180" s="1175"/>
      <c r="G180" s="1175"/>
      <c r="H180" s="1175"/>
      <c r="I180" s="1175"/>
      <c r="J180" s="1175"/>
      <c r="K180" s="1175"/>
      <c r="L180" s="1175"/>
      <c r="M180" s="1175"/>
      <c r="N180" s="1175"/>
      <c r="O180" s="1175"/>
      <c r="P180" s="1175"/>
      <c r="Q180" s="1175"/>
      <c r="R180" s="1175"/>
      <c r="S180" s="1175"/>
      <c r="T180" s="1175"/>
      <c r="U180" s="1175"/>
      <c r="V180" s="1175"/>
      <c r="W180" s="1175"/>
      <c r="X180" s="1175"/>
      <c r="Y180" s="1175"/>
      <c r="Z180" s="1175"/>
      <c r="AA180" s="1175"/>
      <c r="AB180" s="1175"/>
      <c r="AC180" s="1175"/>
      <c r="AD180" s="1175"/>
      <c r="AE180" s="1175"/>
      <c r="AF180" s="1175"/>
      <c r="AG180" s="1175"/>
      <c r="AH180" s="1175"/>
      <c r="AI180" s="1175"/>
      <c r="AJ180" s="1175"/>
      <c r="AK180" s="1175"/>
      <c r="AL180" s="1175"/>
      <c r="AM180" s="1175"/>
      <c r="AN180" s="1175"/>
      <c r="AO180" s="1175"/>
      <c r="AP180" s="1175"/>
      <c r="AQ180" s="1175"/>
      <c r="AR180" s="1175"/>
      <c r="AS180" s="1175"/>
      <c r="AT180" s="1175"/>
      <c r="AU180" s="1175"/>
      <c r="AV180" s="1175"/>
      <c r="AW180" s="1175"/>
      <c r="AX180" s="1175"/>
      <c r="AY180" s="1175"/>
      <c r="AZ180" s="1175"/>
      <c r="BA180" s="1175"/>
      <c r="BB180" s="1175"/>
      <c r="BC180" s="1175"/>
      <c r="BD180" s="1175"/>
      <c r="BE180" s="1175"/>
      <c r="BF180" s="1175"/>
      <c r="BG180" s="1175"/>
      <c r="BH180" s="1175"/>
      <c r="BI180" s="1175"/>
      <c r="BJ180" s="1175"/>
      <c r="BK180" s="1175"/>
      <c r="BL180" s="1175"/>
      <c r="BM180" s="1175"/>
      <c r="BN180" s="1175"/>
      <c r="BO180" s="1175"/>
      <c r="BP180" s="1175"/>
      <c r="BQ180" s="1175"/>
      <c r="BR180" s="1175"/>
      <c r="BS180" s="1175"/>
      <c r="BT180" s="1175"/>
      <c r="BU180" s="1175"/>
      <c r="BV180" s="1175"/>
      <c r="BW180" s="1175"/>
      <c r="BX180" s="1175"/>
      <c r="BY180" s="1175"/>
      <c r="BZ180" s="1175"/>
      <c r="CA180" s="1175"/>
      <c r="CB180" s="1175"/>
      <c r="CC180" s="1175"/>
      <c r="CD180" s="1175"/>
      <c r="CE180" s="1175"/>
      <c r="CF180" s="1175"/>
      <c r="CG180" s="1175"/>
      <c r="CH180" s="1175"/>
      <c r="CI180" s="1175"/>
      <c r="CJ180" s="1175"/>
      <c r="CK180" s="1175"/>
      <c r="CL180" s="1175"/>
      <c r="CM180" s="1175"/>
      <c r="CN180" s="1175"/>
      <c r="CO180" s="1175"/>
      <c r="CP180" s="1175"/>
      <c r="CQ180" s="1175"/>
      <c r="CR180" s="1175"/>
      <c r="CS180" s="1175"/>
      <c r="CT180" s="1175"/>
      <c r="CU180" s="1175"/>
      <c r="CV180" s="1175"/>
      <c r="CW180" s="1175"/>
      <c r="CX180" s="1175"/>
      <c r="CY180" s="1175"/>
      <c r="CZ180" s="1175"/>
      <c r="DA180" s="1175"/>
      <c r="DB180" s="1175"/>
      <c r="DC180" s="1175"/>
      <c r="DD180" s="1175"/>
      <c r="DE180" s="1175"/>
      <c r="DF180" s="1175"/>
      <c r="DG180" s="1175"/>
      <c r="DH180" s="1175"/>
      <c r="DI180" s="1175"/>
      <c r="DJ180" s="1175"/>
      <c r="DK180" s="1175"/>
      <c r="DL180" s="1175"/>
      <c r="DM180" s="1175"/>
      <c r="DN180" s="1175"/>
      <c r="DO180" s="1175"/>
      <c r="DP180" s="1175"/>
      <c r="DQ180" s="1175"/>
      <c r="DR180" s="1175"/>
      <c r="DS180" s="1175"/>
    </row>
    <row r="181" spans="5:123" s="1187" customFormat="1" ht="18" customHeight="1" x14ac:dyDescent="0.3">
      <c r="E181" s="1175"/>
      <c r="F181" s="1175"/>
      <c r="G181" s="1175"/>
      <c r="H181" s="1175"/>
      <c r="I181" s="1175"/>
      <c r="J181" s="1175"/>
      <c r="K181" s="1175"/>
      <c r="L181" s="1175"/>
      <c r="M181" s="1175"/>
      <c r="N181" s="1175"/>
      <c r="O181" s="1175"/>
      <c r="P181" s="1175"/>
      <c r="Q181" s="1175"/>
      <c r="R181" s="1175"/>
      <c r="S181" s="1175"/>
      <c r="T181" s="1175"/>
      <c r="U181" s="1175"/>
      <c r="V181" s="1175"/>
      <c r="W181" s="1175"/>
      <c r="X181" s="1175"/>
      <c r="Y181" s="1175"/>
      <c r="Z181" s="1175"/>
      <c r="AA181" s="1175"/>
      <c r="AB181" s="1175"/>
      <c r="AC181" s="1175"/>
      <c r="AD181" s="1175"/>
      <c r="AE181" s="1175"/>
      <c r="AF181" s="1175"/>
      <c r="AG181" s="1175"/>
      <c r="AH181" s="1175"/>
      <c r="AI181" s="1175"/>
      <c r="AJ181" s="1175"/>
      <c r="AK181" s="1175"/>
      <c r="AL181" s="1175"/>
      <c r="AM181" s="1175"/>
      <c r="AN181" s="1175"/>
      <c r="AO181" s="1175"/>
      <c r="AP181" s="1175"/>
      <c r="AQ181" s="1175"/>
      <c r="AR181" s="1175"/>
      <c r="AS181" s="1175"/>
      <c r="AT181" s="1175"/>
      <c r="AU181" s="1175"/>
      <c r="AV181" s="1175"/>
      <c r="AW181" s="1175"/>
      <c r="AX181" s="1175"/>
      <c r="AY181" s="1175"/>
      <c r="AZ181" s="1175"/>
      <c r="BA181" s="1175"/>
      <c r="BB181" s="1175"/>
      <c r="BC181" s="1175"/>
      <c r="BD181" s="1175"/>
      <c r="BE181" s="1175"/>
      <c r="BF181" s="1175"/>
      <c r="BG181" s="1175"/>
      <c r="BH181" s="1175"/>
      <c r="BI181" s="1175"/>
      <c r="BJ181" s="1175"/>
      <c r="BK181" s="1175"/>
      <c r="BL181" s="1175"/>
      <c r="BM181" s="1175"/>
      <c r="BN181" s="1175"/>
      <c r="BO181" s="1175"/>
      <c r="BP181" s="1175"/>
      <c r="BQ181" s="1175"/>
      <c r="BR181" s="1175"/>
      <c r="BS181" s="1175"/>
      <c r="BT181" s="1175"/>
      <c r="BU181" s="1175"/>
      <c r="BV181" s="1175"/>
      <c r="BW181" s="1175"/>
      <c r="BX181" s="1175"/>
      <c r="BY181" s="1175"/>
      <c r="BZ181" s="1175"/>
      <c r="CA181" s="1175"/>
      <c r="CB181" s="1175"/>
      <c r="CC181" s="1175"/>
      <c r="CD181" s="1175"/>
      <c r="CE181" s="1175"/>
      <c r="CF181" s="1175"/>
      <c r="CG181" s="1175"/>
      <c r="CH181" s="1175"/>
      <c r="CI181" s="1175"/>
      <c r="CJ181" s="1175"/>
      <c r="CK181" s="1175"/>
      <c r="CL181" s="1175"/>
      <c r="CM181" s="1175"/>
      <c r="CN181" s="1175"/>
      <c r="CO181" s="1175"/>
      <c r="CP181" s="1175"/>
      <c r="CQ181" s="1175"/>
      <c r="CR181" s="1175"/>
      <c r="CS181" s="1175"/>
      <c r="CT181" s="1175"/>
      <c r="CU181" s="1175"/>
      <c r="CV181" s="1175"/>
      <c r="CW181" s="1175"/>
      <c r="CX181" s="1175"/>
      <c r="CY181" s="1175"/>
      <c r="CZ181" s="1175"/>
      <c r="DA181" s="1175"/>
      <c r="DB181" s="1175"/>
      <c r="DC181" s="1175"/>
      <c r="DD181" s="1175"/>
      <c r="DE181" s="1175"/>
      <c r="DF181" s="1175"/>
      <c r="DG181" s="1175"/>
      <c r="DH181" s="1175"/>
      <c r="DI181" s="1175"/>
      <c r="DJ181" s="1175"/>
      <c r="DK181" s="1175"/>
      <c r="DL181" s="1175"/>
      <c r="DM181" s="1175"/>
      <c r="DN181" s="1175"/>
      <c r="DO181" s="1175"/>
      <c r="DP181" s="1175"/>
      <c r="DQ181" s="1175"/>
      <c r="DR181" s="1175"/>
      <c r="DS181" s="1175"/>
    </row>
    <row r="182" spans="5:123" s="1187" customFormat="1" ht="18" customHeight="1" x14ac:dyDescent="0.3">
      <c r="E182" s="1175"/>
      <c r="F182" s="1175"/>
      <c r="G182" s="1175"/>
      <c r="H182" s="1175"/>
      <c r="I182" s="1175"/>
      <c r="J182" s="1175"/>
      <c r="K182" s="1175"/>
      <c r="L182" s="1175"/>
      <c r="M182" s="1175"/>
      <c r="N182" s="1175"/>
      <c r="O182" s="1175"/>
      <c r="P182" s="1175"/>
      <c r="Q182" s="1175"/>
      <c r="R182" s="1175"/>
      <c r="S182" s="1175"/>
      <c r="T182" s="1175"/>
      <c r="U182" s="1175"/>
      <c r="V182" s="1175"/>
      <c r="W182" s="1175"/>
      <c r="X182" s="1175"/>
      <c r="Y182" s="1175"/>
      <c r="Z182" s="1175"/>
      <c r="AA182" s="1175"/>
      <c r="AB182" s="1175"/>
      <c r="AC182" s="1175"/>
      <c r="AD182" s="1175"/>
      <c r="AE182" s="1175"/>
      <c r="AF182" s="1175"/>
      <c r="AG182" s="1175"/>
      <c r="AH182" s="1175"/>
      <c r="AI182" s="1175"/>
      <c r="AJ182" s="1175"/>
      <c r="AK182" s="1175"/>
      <c r="AL182" s="1175"/>
      <c r="AM182" s="1175"/>
      <c r="AN182" s="1175"/>
      <c r="AO182" s="1175"/>
      <c r="AP182" s="1175"/>
      <c r="AQ182" s="1175"/>
      <c r="AR182" s="1175"/>
      <c r="AS182" s="1175"/>
      <c r="AT182" s="1175"/>
      <c r="AU182" s="1175"/>
      <c r="AV182" s="1175"/>
      <c r="AW182" s="1175"/>
      <c r="AX182" s="1175"/>
      <c r="AY182" s="1175"/>
      <c r="AZ182" s="1175"/>
      <c r="BA182" s="1175"/>
      <c r="BB182" s="1175"/>
      <c r="BC182" s="1175"/>
      <c r="BD182" s="1175"/>
      <c r="BE182" s="1175"/>
      <c r="BF182" s="1175"/>
      <c r="BG182" s="1175"/>
      <c r="BH182" s="1175"/>
      <c r="BI182" s="1175"/>
      <c r="BJ182" s="1175"/>
      <c r="BK182" s="1175"/>
      <c r="BL182" s="1175"/>
      <c r="BM182" s="1175"/>
      <c r="BN182" s="1175"/>
      <c r="BO182" s="1175"/>
      <c r="BP182" s="1175"/>
      <c r="BQ182" s="1175"/>
      <c r="BR182" s="1175"/>
      <c r="BS182" s="1175"/>
      <c r="BT182" s="1175"/>
      <c r="BU182" s="1175"/>
      <c r="BV182" s="1175"/>
      <c r="BW182" s="1175"/>
      <c r="BX182" s="1175"/>
      <c r="BY182" s="1175"/>
      <c r="BZ182" s="1175"/>
      <c r="CA182" s="1175"/>
      <c r="CB182" s="1175"/>
      <c r="CC182" s="1175"/>
      <c r="CD182" s="1175"/>
      <c r="CE182" s="1175"/>
      <c r="CF182" s="1175"/>
      <c r="CG182" s="1175"/>
      <c r="CH182" s="1175"/>
      <c r="CI182" s="1175"/>
      <c r="CJ182" s="1175"/>
      <c r="CK182" s="1175"/>
      <c r="CL182" s="1175"/>
      <c r="CM182" s="1175"/>
      <c r="CN182" s="1175"/>
      <c r="CO182" s="1175"/>
      <c r="CP182" s="1175"/>
      <c r="CQ182" s="1175"/>
      <c r="CR182" s="1175"/>
      <c r="CS182" s="1175"/>
      <c r="CT182" s="1175"/>
      <c r="CU182" s="1175"/>
      <c r="CV182" s="1175"/>
      <c r="CW182" s="1175"/>
      <c r="CX182" s="1175"/>
      <c r="CY182" s="1175"/>
      <c r="CZ182" s="1175"/>
      <c r="DA182" s="1175"/>
      <c r="DB182" s="1175"/>
      <c r="DC182" s="1175"/>
      <c r="DD182" s="1175"/>
      <c r="DE182" s="1175"/>
      <c r="DF182" s="1175"/>
      <c r="DG182" s="1175"/>
      <c r="DH182" s="1175"/>
      <c r="DI182" s="1175"/>
      <c r="DJ182" s="1175"/>
      <c r="DK182" s="1175"/>
      <c r="DL182" s="1175"/>
      <c r="DM182" s="1175"/>
      <c r="DN182" s="1175"/>
      <c r="DO182" s="1175"/>
      <c r="DP182" s="1175"/>
      <c r="DQ182" s="1175"/>
      <c r="DR182" s="1175"/>
      <c r="DS182" s="1175"/>
    </row>
    <row r="183" spans="5:123" s="1187" customFormat="1" ht="18" customHeight="1" x14ac:dyDescent="0.3">
      <c r="E183" s="1175"/>
      <c r="F183" s="1175"/>
      <c r="G183" s="1175"/>
      <c r="H183" s="1175"/>
      <c r="I183" s="1175"/>
      <c r="J183" s="1175"/>
      <c r="K183" s="1175"/>
      <c r="L183" s="1175"/>
      <c r="M183" s="1175"/>
      <c r="N183" s="1175"/>
      <c r="O183" s="1175"/>
      <c r="P183" s="1175"/>
      <c r="Q183" s="1175"/>
      <c r="R183" s="1175"/>
      <c r="S183" s="1175"/>
      <c r="T183" s="1175"/>
      <c r="U183" s="1175"/>
      <c r="V183" s="1175"/>
      <c r="W183" s="1175"/>
      <c r="X183" s="1175"/>
      <c r="Y183" s="1175"/>
      <c r="Z183" s="1175"/>
      <c r="AA183" s="1175"/>
      <c r="AB183" s="1175"/>
      <c r="AC183" s="1175"/>
      <c r="AD183" s="1175"/>
      <c r="AE183" s="1175"/>
      <c r="AF183" s="1175"/>
      <c r="AG183" s="1175"/>
      <c r="AH183" s="1175"/>
      <c r="AI183" s="1175"/>
      <c r="AJ183" s="1175"/>
      <c r="AK183" s="1175"/>
      <c r="AL183" s="1175"/>
      <c r="AM183" s="1175"/>
      <c r="AN183" s="1175"/>
      <c r="AO183" s="1175"/>
      <c r="AP183" s="1175"/>
      <c r="AQ183" s="1175"/>
      <c r="AR183" s="1175"/>
      <c r="AS183" s="1175"/>
      <c r="AT183" s="1175"/>
      <c r="AU183" s="1175"/>
      <c r="AV183" s="1175"/>
      <c r="AW183" s="1175"/>
      <c r="AX183" s="1175"/>
      <c r="AY183" s="1175"/>
      <c r="AZ183" s="1175"/>
      <c r="BA183" s="1175"/>
      <c r="BB183" s="1175"/>
      <c r="BC183" s="1175"/>
      <c r="BD183" s="1175"/>
      <c r="BE183" s="1175"/>
      <c r="BF183" s="1175"/>
      <c r="BG183" s="1175"/>
      <c r="BH183" s="1175"/>
      <c r="BI183" s="1175"/>
      <c r="BJ183" s="1175"/>
      <c r="BK183" s="1175"/>
      <c r="BL183" s="1175"/>
      <c r="BM183" s="1175"/>
      <c r="BN183" s="1175"/>
      <c r="BO183" s="1175"/>
      <c r="BP183" s="1175"/>
      <c r="BQ183" s="1175"/>
      <c r="BR183" s="1175"/>
      <c r="BS183" s="1175"/>
      <c r="BT183" s="1175"/>
      <c r="BU183" s="1175"/>
      <c r="BV183" s="1175"/>
      <c r="BW183" s="1175"/>
      <c r="BX183" s="1175"/>
      <c r="BY183" s="1175"/>
      <c r="BZ183" s="1175"/>
      <c r="CA183" s="1175"/>
      <c r="CB183" s="1175"/>
      <c r="CC183" s="1175"/>
      <c r="CD183" s="1175"/>
      <c r="CE183" s="1175"/>
      <c r="CF183" s="1175"/>
      <c r="CG183" s="1175"/>
      <c r="CH183" s="1175"/>
      <c r="CI183" s="1175"/>
      <c r="CJ183" s="1175"/>
      <c r="CK183" s="1175"/>
      <c r="CL183" s="1175"/>
      <c r="CM183" s="1175"/>
      <c r="CN183" s="1175"/>
      <c r="CO183" s="1175"/>
      <c r="CP183" s="1175"/>
      <c r="CQ183" s="1175"/>
      <c r="CR183" s="1175"/>
      <c r="CS183" s="1175"/>
      <c r="CT183" s="1175"/>
      <c r="CU183" s="1175"/>
      <c r="CV183" s="1175"/>
      <c r="CW183" s="1175"/>
      <c r="CX183" s="1175"/>
      <c r="CY183" s="1175"/>
      <c r="CZ183" s="1175"/>
      <c r="DA183" s="1175"/>
      <c r="DB183" s="1175"/>
      <c r="DC183" s="1175"/>
      <c r="DD183" s="1175"/>
      <c r="DE183" s="1175"/>
      <c r="DF183" s="1175"/>
      <c r="DG183" s="1175"/>
      <c r="DH183" s="1175"/>
      <c r="DI183" s="1175"/>
      <c r="DJ183" s="1175"/>
      <c r="DK183" s="1175"/>
      <c r="DL183" s="1175"/>
      <c r="DM183" s="1175"/>
      <c r="DN183" s="1175"/>
      <c r="DO183" s="1175"/>
      <c r="DP183" s="1175"/>
      <c r="DQ183" s="1175"/>
      <c r="DR183" s="1175"/>
      <c r="DS183" s="1175"/>
    </row>
    <row r="184" spans="5:123" s="1187" customFormat="1" ht="18" customHeight="1" x14ac:dyDescent="0.3">
      <c r="E184" s="1175"/>
      <c r="F184" s="1175"/>
      <c r="G184" s="1175"/>
      <c r="H184" s="1175"/>
      <c r="I184" s="1175"/>
      <c r="J184" s="1175"/>
      <c r="K184" s="1175"/>
      <c r="L184" s="1175"/>
      <c r="M184" s="1175"/>
      <c r="N184" s="1175"/>
      <c r="O184" s="1175"/>
      <c r="P184" s="1175"/>
      <c r="Q184" s="1175"/>
      <c r="R184" s="1175"/>
      <c r="S184" s="1175"/>
      <c r="T184" s="1175"/>
      <c r="U184" s="1175"/>
      <c r="V184" s="1175"/>
      <c r="W184" s="1175"/>
      <c r="X184" s="1175"/>
      <c r="Y184" s="1175"/>
      <c r="Z184" s="1175"/>
      <c r="AA184" s="1175"/>
      <c r="AB184" s="1175"/>
      <c r="AC184" s="1175"/>
      <c r="AD184" s="1175"/>
      <c r="AE184" s="1175"/>
      <c r="AF184" s="1175"/>
      <c r="AG184" s="1175"/>
      <c r="AH184" s="1175"/>
      <c r="AI184" s="1175"/>
      <c r="AJ184" s="1175"/>
      <c r="AK184" s="1175"/>
      <c r="AL184" s="1175"/>
      <c r="AM184" s="1175"/>
      <c r="AN184" s="1175"/>
      <c r="AO184" s="1175"/>
      <c r="AP184" s="1175"/>
      <c r="AQ184" s="1175"/>
      <c r="AR184" s="1175"/>
      <c r="AS184" s="1175"/>
      <c r="AT184" s="1175"/>
      <c r="AU184" s="1175"/>
      <c r="AV184" s="1175"/>
      <c r="AW184" s="1175"/>
      <c r="AX184" s="1175"/>
      <c r="AY184" s="1175"/>
      <c r="AZ184" s="1175"/>
      <c r="BA184" s="1175"/>
      <c r="BB184" s="1175"/>
      <c r="BC184" s="1175"/>
      <c r="BD184" s="1175"/>
      <c r="BE184" s="1175"/>
      <c r="BF184" s="1175"/>
      <c r="BG184" s="1175"/>
      <c r="BH184" s="1175"/>
      <c r="BI184" s="1175"/>
      <c r="BJ184" s="1175"/>
      <c r="BK184" s="1175"/>
      <c r="BL184" s="1175"/>
      <c r="BM184" s="1175"/>
      <c r="BN184" s="1175"/>
      <c r="BO184" s="1175"/>
      <c r="BP184" s="1175"/>
      <c r="BQ184" s="1175"/>
      <c r="BR184" s="1175"/>
      <c r="BS184" s="1175"/>
      <c r="BT184" s="1175"/>
      <c r="BU184" s="1175"/>
      <c r="BV184" s="1175"/>
      <c r="BW184" s="1175"/>
      <c r="BX184" s="1175"/>
      <c r="BY184" s="1175"/>
      <c r="BZ184" s="1175"/>
      <c r="CA184" s="1175"/>
      <c r="CB184" s="1175"/>
      <c r="CC184" s="1175"/>
      <c r="CD184" s="1175"/>
      <c r="CE184" s="1175"/>
      <c r="CF184" s="1175"/>
      <c r="CG184" s="1175"/>
      <c r="CH184" s="1175"/>
      <c r="CI184" s="1175"/>
      <c r="CJ184" s="1175"/>
      <c r="CK184" s="1175"/>
      <c r="CL184" s="1175"/>
      <c r="CM184" s="1175"/>
      <c r="CN184" s="1175"/>
      <c r="CO184" s="1175"/>
      <c r="CP184" s="1175"/>
      <c r="CQ184" s="1175"/>
      <c r="CR184" s="1175"/>
      <c r="CS184" s="1175"/>
      <c r="CT184" s="1175"/>
      <c r="CU184" s="1175"/>
      <c r="CV184" s="1175"/>
      <c r="CW184" s="1175"/>
      <c r="CX184" s="1175"/>
      <c r="CY184" s="1175"/>
      <c r="CZ184" s="1175"/>
      <c r="DA184" s="1175"/>
      <c r="DB184" s="1175"/>
      <c r="DC184" s="1175"/>
      <c r="DD184" s="1175"/>
      <c r="DE184" s="1175"/>
      <c r="DF184" s="1175"/>
      <c r="DG184" s="1175"/>
      <c r="DH184" s="1175"/>
      <c r="DI184" s="1175"/>
      <c r="DJ184" s="1175"/>
      <c r="DK184" s="1175"/>
      <c r="DL184" s="1175"/>
      <c r="DM184" s="1175"/>
      <c r="DN184" s="1175"/>
      <c r="DO184" s="1175"/>
      <c r="DP184" s="1175"/>
      <c r="DQ184" s="1175"/>
      <c r="DR184" s="1175"/>
      <c r="DS184" s="1175"/>
    </row>
    <row r="185" spans="5:123" s="1187" customFormat="1" ht="18" customHeight="1" x14ac:dyDescent="0.3">
      <c r="E185" s="1175"/>
      <c r="F185" s="1175"/>
      <c r="G185" s="1175"/>
      <c r="H185" s="1175"/>
      <c r="I185" s="1175"/>
      <c r="J185" s="1175"/>
      <c r="K185" s="1175"/>
      <c r="L185" s="1175"/>
      <c r="M185" s="1175"/>
      <c r="N185" s="1175"/>
      <c r="O185" s="1175"/>
      <c r="P185" s="1175"/>
      <c r="Q185" s="1175"/>
      <c r="R185" s="1175"/>
      <c r="S185" s="1175"/>
      <c r="T185" s="1175"/>
      <c r="U185" s="1175"/>
      <c r="V185" s="1175"/>
      <c r="W185" s="1175"/>
      <c r="X185" s="1175"/>
      <c r="Y185" s="1175"/>
      <c r="Z185" s="1175"/>
      <c r="AA185" s="1175"/>
      <c r="AB185" s="1175"/>
      <c r="AC185" s="1175"/>
      <c r="AD185" s="1175"/>
      <c r="AE185" s="1175"/>
      <c r="AF185" s="1175"/>
      <c r="AG185" s="1175"/>
      <c r="AH185" s="1175"/>
      <c r="AI185" s="1175"/>
      <c r="AJ185" s="1175"/>
      <c r="AK185" s="1175"/>
      <c r="AL185" s="1175"/>
      <c r="AM185" s="1175"/>
      <c r="AN185" s="1175"/>
      <c r="AO185" s="1175"/>
      <c r="AP185" s="1175"/>
      <c r="AQ185" s="1175"/>
      <c r="AR185" s="1175"/>
      <c r="AS185" s="1175"/>
      <c r="AT185" s="1175"/>
      <c r="AU185" s="1175"/>
      <c r="AV185" s="1175"/>
      <c r="AW185" s="1175"/>
      <c r="AX185" s="1175"/>
      <c r="AY185" s="1175"/>
      <c r="AZ185" s="1175"/>
      <c r="BA185" s="1175"/>
      <c r="BB185" s="1175"/>
      <c r="BC185" s="1175"/>
      <c r="BD185" s="1175"/>
      <c r="BE185" s="1175"/>
      <c r="BF185" s="1175"/>
      <c r="BG185" s="1175"/>
      <c r="BH185" s="1175"/>
      <c r="BI185" s="1175"/>
      <c r="BJ185" s="1175"/>
      <c r="BK185" s="1175"/>
      <c r="BL185" s="1175"/>
      <c r="BM185" s="1175"/>
      <c r="BN185" s="1175"/>
      <c r="BO185" s="1175"/>
      <c r="BP185" s="1175"/>
      <c r="BQ185" s="1175"/>
      <c r="BR185" s="1175"/>
      <c r="BS185" s="1175"/>
      <c r="BT185" s="1175"/>
      <c r="BU185" s="1175"/>
      <c r="BV185" s="1175"/>
      <c r="BW185" s="1175"/>
      <c r="BX185" s="1175"/>
      <c r="BY185" s="1175"/>
      <c r="BZ185" s="1175"/>
      <c r="CA185" s="1175"/>
      <c r="CB185" s="1175"/>
      <c r="CC185" s="1175"/>
      <c r="CD185" s="1175"/>
      <c r="CE185" s="1175"/>
      <c r="CF185" s="1175"/>
      <c r="CG185" s="1175"/>
      <c r="CH185" s="1175"/>
      <c r="CI185" s="1175"/>
      <c r="CJ185" s="1175"/>
      <c r="CK185" s="1175"/>
      <c r="CL185" s="1175"/>
      <c r="CM185" s="1175"/>
      <c r="CN185" s="1175"/>
      <c r="CO185" s="1175"/>
      <c r="CP185" s="1175"/>
      <c r="CQ185" s="1175"/>
      <c r="CR185" s="1175"/>
      <c r="CS185" s="1175"/>
      <c r="CT185" s="1175"/>
      <c r="CU185" s="1175"/>
      <c r="CV185" s="1175"/>
      <c r="CW185" s="1175"/>
      <c r="CX185" s="1175"/>
      <c r="CY185" s="1175"/>
      <c r="CZ185" s="1175"/>
      <c r="DA185" s="1175"/>
      <c r="DB185" s="1175"/>
      <c r="DC185" s="1175"/>
      <c r="DD185" s="1175"/>
      <c r="DE185" s="1175"/>
      <c r="DF185" s="1175"/>
      <c r="DG185" s="1175"/>
      <c r="DH185" s="1175"/>
      <c r="DI185" s="1175"/>
      <c r="DJ185" s="1175"/>
      <c r="DK185" s="1175"/>
      <c r="DL185" s="1175"/>
      <c r="DM185" s="1175"/>
      <c r="DN185" s="1175"/>
      <c r="DO185" s="1175"/>
      <c r="DP185" s="1175"/>
      <c r="DQ185" s="1175"/>
      <c r="DR185" s="1175"/>
      <c r="DS185" s="1175"/>
    </row>
    <row r="186" spans="5:123" s="1187" customFormat="1" ht="18" customHeight="1" x14ac:dyDescent="0.3">
      <c r="E186" s="1175"/>
      <c r="F186" s="1175"/>
      <c r="G186" s="1175"/>
      <c r="H186" s="1175"/>
      <c r="I186" s="1175"/>
      <c r="J186" s="1175"/>
      <c r="K186" s="1175"/>
      <c r="L186" s="1175"/>
      <c r="M186" s="1175"/>
      <c r="N186" s="1175"/>
      <c r="O186" s="1175"/>
      <c r="P186" s="1175"/>
      <c r="Q186" s="1175"/>
      <c r="R186" s="1175"/>
      <c r="S186" s="1175"/>
      <c r="T186" s="1175"/>
      <c r="U186" s="1175"/>
      <c r="V186" s="1175"/>
      <c r="W186" s="1175"/>
      <c r="X186" s="1175"/>
      <c r="Y186" s="1175"/>
      <c r="Z186" s="1175"/>
      <c r="AA186" s="1175"/>
      <c r="AB186" s="1175"/>
      <c r="AC186" s="1175"/>
      <c r="AD186" s="1175"/>
      <c r="AE186" s="1175"/>
      <c r="AF186" s="1175"/>
      <c r="AG186" s="1175"/>
      <c r="AH186" s="1175"/>
      <c r="AI186" s="1175"/>
      <c r="AJ186" s="1175"/>
      <c r="AK186" s="1175"/>
      <c r="AL186" s="1175"/>
      <c r="AM186" s="1175"/>
      <c r="AN186" s="1175"/>
      <c r="AO186" s="1175"/>
      <c r="AP186" s="1175"/>
      <c r="AQ186" s="1175"/>
      <c r="AR186" s="1175"/>
      <c r="AS186" s="1175"/>
      <c r="AT186" s="1175"/>
      <c r="AU186" s="1175"/>
      <c r="AV186" s="1175"/>
      <c r="AW186" s="1175"/>
      <c r="AX186" s="1175"/>
      <c r="AY186" s="1175"/>
      <c r="AZ186" s="1175"/>
      <c r="BA186" s="1175"/>
      <c r="BB186" s="1175"/>
      <c r="BC186" s="1175"/>
      <c r="BD186" s="1175"/>
      <c r="BE186" s="1175"/>
      <c r="BF186" s="1175"/>
      <c r="BG186" s="1175"/>
      <c r="BH186" s="1175"/>
      <c r="BI186" s="1175"/>
      <c r="BJ186" s="1175"/>
      <c r="BK186" s="1175"/>
      <c r="BL186" s="1175"/>
      <c r="BM186" s="1175"/>
      <c r="BN186" s="1175"/>
      <c r="BO186" s="1175"/>
      <c r="BP186" s="1175"/>
      <c r="BQ186" s="1175"/>
      <c r="BR186" s="1175"/>
      <c r="BS186" s="1175"/>
      <c r="BT186" s="1175"/>
      <c r="BU186" s="1175"/>
      <c r="BV186" s="1175"/>
      <c r="BW186" s="1175"/>
      <c r="BX186" s="1175"/>
      <c r="BY186" s="1175"/>
      <c r="BZ186" s="1175"/>
      <c r="CA186" s="1175"/>
      <c r="CB186" s="1175"/>
      <c r="CC186" s="1175"/>
      <c r="CD186" s="1175"/>
      <c r="CE186" s="1175"/>
      <c r="CF186" s="1175"/>
      <c r="CG186" s="1175"/>
      <c r="CH186" s="1175"/>
      <c r="CI186" s="1175"/>
      <c r="CJ186" s="1175"/>
      <c r="CK186" s="1175"/>
      <c r="CL186" s="1175"/>
      <c r="CM186" s="1175"/>
      <c r="CN186" s="1175"/>
      <c r="CO186" s="1175"/>
      <c r="CP186" s="1175"/>
      <c r="CQ186" s="1175"/>
      <c r="CR186" s="1175"/>
      <c r="CS186" s="1175"/>
      <c r="CT186" s="1175"/>
      <c r="CU186" s="1175"/>
      <c r="CV186" s="1175"/>
      <c r="CW186" s="1175"/>
      <c r="CX186" s="1175"/>
      <c r="CY186" s="1175"/>
      <c r="CZ186" s="1175"/>
      <c r="DA186" s="1175"/>
      <c r="DB186" s="1175"/>
      <c r="DC186" s="1175"/>
      <c r="DD186" s="1175"/>
      <c r="DE186" s="1175"/>
      <c r="DF186" s="1175"/>
      <c r="DG186" s="1175"/>
      <c r="DH186" s="1175"/>
      <c r="DI186" s="1175"/>
      <c r="DJ186" s="1175"/>
      <c r="DK186" s="1175"/>
      <c r="DL186" s="1175"/>
      <c r="DM186" s="1175"/>
      <c r="DN186" s="1175"/>
      <c r="DO186" s="1175"/>
      <c r="DP186" s="1175"/>
      <c r="DQ186" s="1175"/>
      <c r="DR186" s="1175"/>
      <c r="DS186" s="1175"/>
    </row>
    <row r="187" spans="5:123" s="1187" customFormat="1" ht="18" customHeight="1" x14ac:dyDescent="0.3">
      <c r="E187" s="1175"/>
      <c r="F187" s="1175"/>
      <c r="G187" s="1175"/>
      <c r="H187" s="1175"/>
      <c r="I187" s="1175"/>
      <c r="J187" s="1175"/>
      <c r="K187" s="1175"/>
      <c r="L187" s="1175"/>
      <c r="M187" s="1175"/>
      <c r="N187" s="1175"/>
      <c r="O187" s="1175"/>
      <c r="P187" s="1175"/>
      <c r="Q187" s="1175"/>
      <c r="R187" s="1175"/>
      <c r="S187" s="1175"/>
      <c r="T187" s="1175"/>
      <c r="U187" s="1175"/>
      <c r="V187" s="1175"/>
      <c r="W187" s="1175"/>
      <c r="X187" s="1175"/>
      <c r="Y187" s="1175"/>
      <c r="Z187" s="1175"/>
      <c r="AA187" s="1175"/>
      <c r="AB187" s="1175"/>
      <c r="AC187" s="1175"/>
      <c r="AD187" s="1175"/>
      <c r="AE187" s="1175"/>
      <c r="AF187" s="1175"/>
      <c r="AG187" s="1175"/>
      <c r="AH187" s="1175"/>
      <c r="AI187" s="1175"/>
      <c r="AJ187" s="1175"/>
      <c r="AK187" s="1175"/>
      <c r="AL187" s="1175"/>
      <c r="AM187" s="1175"/>
      <c r="AN187" s="1175"/>
      <c r="AO187" s="1175"/>
      <c r="AP187" s="1175"/>
      <c r="AQ187" s="1175"/>
      <c r="AR187" s="1175"/>
      <c r="AS187" s="1175"/>
      <c r="AT187" s="1175"/>
      <c r="AU187" s="1175"/>
      <c r="AV187" s="1175"/>
      <c r="AW187" s="1175"/>
      <c r="AX187" s="1175"/>
      <c r="AY187" s="1175"/>
      <c r="AZ187" s="1175"/>
      <c r="BA187" s="1175"/>
      <c r="BB187" s="1175"/>
      <c r="BC187" s="1175"/>
      <c r="BD187" s="1175"/>
      <c r="BE187" s="1175"/>
      <c r="BF187" s="1175"/>
      <c r="BG187" s="1175"/>
      <c r="BH187" s="1175"/>
      <c r="BI187" s="1175"/>
      <c r="BJ187" s="1175"/>
      <c r="BK187" s="1175"/>
      <c r="BL187" s="1175"/>
      <c r="BM187" s="1175"/>
      <c r="BN187" s="1175"/>
      <c r="BO187" s="1175"/>
      <c r="BP187" s="1175"/>
      <c r="BQ187" s="1175"/>
      <c r="BR187" s="1175"/>
      <c r="BS187" s="1175"/>
      <c r="BT187" s="1175"/>
      <c r="BU187" s="1175"/>
      <c r="BV187" s="1175"/>
      <c r="BW187" s="1175"/>
      <c r="BX187" s="1175"/>
      <c r="BY187" s="1175"/>
      <c r="BZ187" s="1175"/>
      <c r="CA187" s="1175"/>
      <c r="CB187" s="1175"/>
      <c r="CC187" s="1175"/>
      <c r="CD187" s="1175"/>
      <c r="CE187" s="1175"/>
      <c r="CF187" s="1175"/>
      <c r="CG187" s="1175"/>
      <c r="CH187" s="1175"/>
      <c r="CI187" s="1175"/>
      <c r="CJ187" s="1175"/>
      <c r="CK187" s="1175"/>
      <c r="CL187" s="1175"/>
      <c r="CM187" s="1175"/>
      <c r="CN187" s="1175"/>
      <c r="CO187" s="1175"/>
      <c r="CP187" s="1175"/>
      <c r="CQ187" s="1175"/>
      <c r="CR187" s="1175"/>
      <c r="CS187" s="1175"/>
      <c r="CT187" s="1175"/>
      <c r="CU187" s="1175"/>
      <c r="CV187" s="1175"/>
      <c r="CW187" s="1175"/>
      <c r="CX187" s="1175"/>
      <c r="CY187" s="1175"/>
      <c r="CZ187" s="1175"/>
      <c r="DA187" s="1175"/>
      <c r="DB187" s="1175"/>
      <c r="DC187" s="1175"/>
      <c r="DD187" s="1175"/>
      <c r="DE187" s="1175"/>
      <c r="DF187" s="1175"/>
      <c r="DG187" s="1175"/>
      <c r="DH187" s="1175"/>
      <c r="DI187" s="1175"/>
      <c r="DJ187" s="1175"/>
      <c r="DK187" s="1175"/>
      <c r="DL187" s="1175"/>
      <c r="DM187" s="1175"/>
      <c r="DN187" s="1175"/>
      <c r="DO187" s="1175"/>
      <c r="DP187" s="1175"/>
      <c r="DQ187" s="1175"/>
      <c r="DR187" s="1175"/>
      <c r="DS187" s="1175"/>
    </row>
    <row r="188" spans="5:123" s="1187" customFormat="1" ht="18" customHeight="1" x14ac:dyDescent="0.3">
      <c r="E188" s="1175"/>
      <c r="F188" s="1175"/>
      <c r="G188" s="1175"/>
      <c r="H188" s="1175"/>
      <c r="I188" s="1175"/>
      <c r="J188" s="1175"/>
      <c r="K188" s="1175"/>
      <c r="L188" s="1175"/>
      <c r="M188" s="1175"/>
      <c r="N188" s="1175"/>
      <c r="O188" s="1175"/>
      <c r="P188" s="1175"/>
      <c r="Q188" s="1175"/>
      <c r="R188" s="1175"/>
      <c r="S188" s="1175"/>
      <c r="T188" s="1175"/>
      <c r="U188" s="1175"/>
      <c r="V188" s="1175"/>
      <c r="W188" s="1175"/>
      <c r="X188" s="1175"/>
      <c r="Y188" s="1175"/>
      <c r="Z188" s="1175"/>
      <c r="AA188" s="1175"/>
      <c r="AB188" s="1175"/>
      <c r="AC188" s="1175"/>
      <c r="AD188" s="1175"/>
      <c r="AE188" s="1175"/>
      <c r="AF188" s="1175"/>
      <c r="AG188" s="1175"/>
      <c r="AH188" s="1175"/>
      <c r="AI188" s="1175"/>
      <c r="AJ188" s="1175"/>
      <c r="AK188" s="1175"/>
      <c r="AL188" s="1175"/>
      <c r="AM188" s="1175"/>
      <c r="AN188" s="1175"/>
      <c r="AO188" s="1175"/>
      <c r="AP188" s="1175"/>
      <c r="AQ188" s="1175"/>
      <c r="AR188" s="1175"/>
      <c r="AS188" s="1175"/>
      <c r="AT188" s="1175"/>
      <c r="AU188" s="1175"/>
      <c r="AV188" s="1175"/>
      <c r="AW188" s="1175"/>
      <c r="AX188" s="1175"/>
      <c r="AY188" s="1175"/>
      <c r="AZ188" s="1175"/>
      <c r="BA188" s="1175"/>
      <c r="BB188" s="1175"/>
      <c r="BC188" s="1175"/>
      <c r="BD188" s="1175"/>
      <c r="BE188" s="1175"/>
      <c r="BF188" s="1175"/>
      <c r="BG188" s="1175"/>
      <c r="BH188" s="1175"/>
      <c r="BI188" s="1175"/>
      <c r="BJ188" s="1175"/>
      <c r="BK188" s="1175"/>
      <c r="BL188" s="1175"/>
      <c r="BM188" s="1175"/>
      <c r="BN188" s="1175"/>
      <c r="BO188" s="1175"/>
      <c r="BP188" s="1175"/>
      <c r="BQ188" s="1175"/>
      <c r="BR188" s="1175"/>
      <c r="BS188" s="1175"/>
      <c r="BT188" s="1175"/>
      <c r="BU188" s="1175"/>
      <c r="BV188" s="1175"/>
      <c r="BW188" s="1175"/>
      <c r="BX188" s="1175"/>
      <c r="BY188" s="1175"/>
      <c r="BZ188" s="1175"/>
      <c r="CA188" s="1175"/>
      <c r="CB188" s="1175"/>
      <c r="CC188" s="1175"/>
      <c r="CD188" s="1175"/>
      <c r="CE188" s="1175"/>
      <c r="CF188" s="1175"/>
      <c r="CG188" s="1175"/>
      <c r="CH188" s="1175"/>
      <c r="CI188" s="1175"/>
      <c r="CJ188" s="1175"/>
      <c r="CK188" s="1175"/>
      <c r="CL188" s="1175"/>
      <c r="CM188" s="1175"/>
      <c r="CN188" s="1175"/>
      <c r="CO188" s="1175"/>
      <c r="CP188" s="1175"/>
      <c r="CQ188" s="1175"/>
      <c r="CR188" s="1175"/>
      <c r="CS188" s="1175"/>
      <c r="CT188" s="1175"/>
      <c r="CU188" s="1175"/>
      <c r="CV188" s="1175"/>
      <c r="CW188" s="1175"/>
      <c r="CX188" s="1175"/>
      <c r="CY188" s="1175"/>
      <c r="CZ188" s="1175"/>
      <c r="DA188" s="1175"/>
      <c r="DB188" s="1175"/>
      <c r="DC188" s="1175"/>
      <c r="DD188" s="1175"/>
      <c r="DE188" s="1175"/>
      <c r="DF188" s="1175"/>
      <c r="DG188" s="1175"/>
      <c r="DH188" s="1175"/>
      <c r="DI188" s="1175"/>
      <c r="DJ188" s="1175"/>
      <c r="DK188" s="1175"/>
      <c r="DL188" s="1175"/>
      <c r="DM188" s="1175"/>
      <c r="DN188" s="1175"/>
      <c r="DO188" s="1175"/>
      <c r="DP188" s="1175"/>
      <c r="DQ188" s="1175"/>
      <c r="DR188" s="1175"/>
      <c r="DS188" s="1175"/>
    </row>
    <row r="189" spans="5:123" s="1187" customFormat="1" ht="18" customHeight="1" x14ac:dyDescent="0.3">
      <c r="E189" s="1175"/>
      <c r="F189" s="1175"/>
      <c r="G189" s="1175"/>
      <c r="H189" s="1175"/>
      <c r="I189" s="1175"/>
      <c r="J189" s="1175"/>
      <c r="K189" s="1175"/>
      <c r="L189" s="1175"/>
      <c r="M189" s="1175"/>
      <c r="N189" s="1175"/>
      <c r="O189" s="1175"/>
      <c r="P189" s="1175"/>
      <c r="Q189" s="1175"/>
      <c r="R189" s="1175"/>
      <c r="S189" s="1175"/>
      <c r="T189" s="1175"/>
      <c r="U189" s="1175"/>
      <c r="V189" s="1175"/>
      <c r="W189" s="1175"/>
      <c r="X189" s="1175"/>
      <c r="Y189" s="1175"/>
      <c r="Z189" s="1175"/>
      <c r="AA189" s="1175"/>
      <c r="AB189" s="1175"/>
      <c r="AC189" s="1175"/>
      <c r="AD189" s="1175"/>
      <c r="AE189" s="1175"/>
      <c r="AF189" s="1175"/>
      <c r="AG189" s="1175"/>
      <c r="AH189" s="1175"/>
      <c r="AI189" s="1175"/>
      <c r="AJ189" s="1175"/>
      <c r="AK189" s="1175"/>
      <c r="AL189" s="1175"/>
      <c r="AM189" s="1175"/>
      <c r="AN189" s="1175"/>
      <c r="AO189" s="1175"/>
      <c r="AP189" s="1175"/>
      <c r="AQ189" s="1175"/>
      <c r="AR189" s="1175"/>
      <c r="AS189" s="1175"/>
      <c r="AT189" s="1175"/>
      <c r="AU189" s="1175"/>
      <c r="AV189" s="1175"/>
      <c r="AW189" s="1175"/>
      <c r="AX189" s="1175"/>
      <c r="AY189" s="1175"/>
      <c r="AZ189" s="1175"/>
      <c r="BA189" s="1175"/>
      <c r="BB189" s="1175"/>
      <c r="BC189" s="1175"/>
      <c r="BD189" s="1175"/>
      <c r="BE189" s="1175"/>
      <c r="BF189" s="1175"/>
      <c r="BG189" s="1175"/>
      <c r="BH189" s="1175"/>
      <c r="BI189" s="1175"/>
      <c r="BJ189" s="1175"/>
      <c r="BK189" s="1175"/>
      <c r="BL189" s="1175"/>
      <c r="BM189" s="1175"/>
      <c r="BN189" s="1175"/>
      <c r="BO189" s="1175"/>
      <c r="BP189" s="1175"/>
      <c r="BQ189" s="1175"/>
      <c r="BR189" s="1175"/>
      <c r="BS189" s="1175"/>
      <c r="BT189" s="1175"/>
      <c r="BU189" s="1175"/>
      <c r="BV189" s="1175"/>
      <c r="BW189" s="1175"/>
      <c r="BX189" s="1175"/>
      <c r="BY189" s="1175"/>
      <c r="BZ189" s="1175"/>
      <c r="CA189" s="1175"/>
      <c r="CB189" s="1175"/>
      <c r="CC189" s="1175"/>
      <c r="CD189" s="1175"/>
      <c r="CE189" s="1175"/>
      <c r="CF189" s="1175"/>
      <c r="CG189" s="1175"/>
      <c r="CH189" s="1175"/>
      <c r="CI189" s="1175"/>
      <c r="CJ189" s="1175"/>
      <c r="CK189" s="1175"/>
      <c r="CL189" s="1175"/>
      <c r="CM189" s="1175"/>
      <c r="CN189" s="1175"/>
      <c r="CO189" s="1175"/>
      <c r="CP189" s="1175"/>
      <c r="CQ189" s="1175"/>
      <c r="CR189" s="1175"/>
      <c r="CS189" s="1175"/>
      <c r="CT189" s="1175"/>
      <c r="CU189" s="1175"/>
      <c r="CV189" s="1175"/>
      <c r="CW189" s="1175"/>
      <c r="CX189" s="1175"/>
      <c r="CY189" s="1175"/>
      <c r="CZ189" s="1175"/>
      <c r="DA189" s="1175"/>
      <c r="DB189" s="1175"/>
      <c r="DC189" s="1175"/>
      <c r="DD189" s="1175"/>
      <c r="DE189" s="1175"/>
      <c r="DF189" s="1175"/>
      <c r="DG189" s="1175"/>
      <c r="DH189" s="1175"/>
      <c r="DI189" s="1175"/>
      <c r="DJ189" s="1175"/>
      <c r="DK189" s="1175"/>
      <c r="DL189" s="1175"/>
      <c r="DM189" s="1175"/>
      <c r="DN189" s="1175"/>
      <c r="DO189" s="1175"/>
      <c r="DP189" s="1175"/>
      <c r="DQ189" s="1175"/>
      <c r="DR189" s="1175"/>
      <c r="DS189" s="1175"/>
    </row>
    <row r="190" spans="5:123" s="1187" customFormat="1" ht="18" customHeight="1" x14ac:dyDescent="0.3">
      <c r="E190" s="1175"/>
      <c r="F190" s="1175"/>
      <c r="G190" s="1175"/>
      <c r="H190" s="1175"/>
      <c r="I190" s="1175"/>
      <c r="J190" s="1175"/>
      <c r="K190" s="1175"/>
      <c r="L190" s="1175"/>
      <c r="M190" s="1175"/>
      <c r="N190" s="1175"/>
      <c r="O190" s="1175"/>
      <c r="P190" s="1175"/>
      <c r="Q190" s="1175"/>
      <c r="R190" s="1175"/>
      <c r="S190" s="1175"/>
      <c r="T190" s="1175"/>
      <c r="U190" s="1175"/>
      <c r="V190" s="1175"/>
      <c r="W190" s="1175"/>
      <c r="X190" s="1175"/>
      <c r="Y190" s="1175"/>
      <c r="Z190" s="1175"/>
      <c r="AA190" s="1175"/>
      <c r="AB190" s="1175"/>
      <c r="AC190" s="1175"/>
      <c r="AD190" s="1175"/>
      <c r="AE190" s="1175"/>
      <c r="AF190" s="1175"/>
      <c r="AG190" s="1175"/>
      <c r="AH190" s="1175"/>
      <c r="AI190" s="1175"/>
      <c r="AJ190" s="1175"/>
      <c r="AK190" s="1175"/>
      <c r="AL190" s="1175"/>
      <c r="AM190" s="1175"/>
      <c r="AN190" s="1175"/>
      <c r="AO190" s="1175"/>
      <c r="AP190" s="1175"/>
      <c r="AQ190" s="1175"/>
      <c r="AR190" s="1175"/>
      <c r="AS190" s="1175"/>
      <c r="AT190" s="1175"/>
      <c r="AU190" s="1175"/>
      <c r="AV190" s="1175"/>
      <c r="AW190" s="1175"/>
      <c r="AX190" s="1175"/>
      <c r="AY190" s="1175"/>
      <c r="AZ190" s="1175"/>
      <c r="BA190" s="1175"/>
      <c r="BB190" s="1175"/>
      <c r="BC190" s="1175"/>
      <c r="BD190" s="1175"/>
      <c r="BE190" s="1175"/>
      <c r="BF190" s="1175"/>
      <c r="BG190" s="1175"/>
      <c r="BH190" s="1175"/>
      <c r="BI190" s="1175"/>
      <c r="BJ190" s="1175"/>
      <c r="BK190" s="1175"/>
      <c r="BL190" s="1175"/>
      <c r="BM190" s="1175"/>
      <c r="BN190" s="1175"/>
      <c r="BO190" s="1175"/>
      <c r="BP190" s="1175"/>
      <c r="BQ190" s="1175"/>
      <c r="BR190" s="1175"/>
      <c r="BS190" s="1175"/>
      <c r="BT190" s="1175"/>
      <c r="BU190" s="1175"/>
      <c r="BV190" s="1175"/>
      <c r="BW190" s="1175"/>
      <c r="BX190" s="1175"/>
      <c r="BY190" s="1175"/>
      <c r="BZ190" s="1175"/>
      <c r="CA190" s="1175"/>
      <c r="CB190" s="1175"/>
      <c r="CC190" s="1175"/>
      <c r="CD190" s="1175"/>
      <c r="CE190" s="1175"/>
      <c r="CF190" s="1175"/>
      <c r="CG190" s="1175"/>
      <c r="CH190" s="1175"/>
      <c r="CI190" s="1175"/>
      <c r="CJ190" s="1175"/>
      <c r="CK190" s="1175"/>
      <c r="CL190" s="1175"/>
      <c r="CM190" s="1175"/>
      <c r="CN190" s="1175"/>
      <c r="CO190" s="1175"/>
      <c r="CP190" s="1175"/>
      <c r="CQ190" s="1175"/>
      <c r="CR190" s="1175"/>
      <c r="CS190" s="1175"/>
      <c r="CT190" s="1175"/>
      <c r="CU190" s="1175"/>
      <c r="CV190" s="1175"/>
      <c r="CW190" s="1175"/>
      <c r="CX190" s="1175"/>
      <c r="CY190" s="1175"/>
      <c r="CZ190" s="1175"/>
      <c r="DA190" s="1175"/>
      <c r="DB190" s="1175"/>
      <c r="DC190" s="1175"/>
      <c r="DD190" s="1175"/>
      <c r="DE190" s="1175"/>
      <c r="DF190" s="1175"/>
      <c r="DG190" s="1175"/>
      <c r="DH190" s="1175"/>
      <c r="DI190" s="1175"/>
      <c r="DJ190" s="1175"/>
      <c r="DK190" s="1175"/>
      <c r="DL190" s="1175"/>
      <c r="DM190" s="1175"/>
      <c r="DN190" s="1175"/>
      <c r="DO190" s="1175"/>
      <c r="DP190" s="1175"/>
      <c r="DQ190" s="1175"/>
      <c r="DR190" s="1175"/>
      <c r="DS190" s="1175"/>
    </row>
    <row r="191" spans="5:123" s="1187" customFormat="1" ht="18" customHeight="1" x14ac:dyDescent="0.3">
      <c r="E191" s="1175"/>
      <c r="F191" s="1175"/>
      <c r="G191" s="1175"/>
      <c r="H191" s="1175"/>
      <c r="I191" s="1175"/>
      <c r="J191" s="1175"/>
      <c r="K191" s="1175"/>
      <c r="L191" s="1175"/>
      <c r="M191" s="1175"/>
      <c r="N191" s="1175"/>
      <c r="O191" s="1175"/>
      <c r="P191" s="1175"/>
      <c r="Q191" s="1175"/>
      <c r="R191" s="1175"/>
      <c r="S191" s="1175"/>
      <c r="T191" s="1175"/>
      <c r="U191" s="1175"/>
      <c r="V191" s="1175"/>
      <c r="W191" s="1175"/>
      <c r="X191" s="1175"/>
      <c r="Y191" s="1175"/>
      <c r="Z191" s="1175"/>
      <c r="AA191" s="1175"/>
      <c r="AB191" s="1175"/>
      <c r="AC191" s="1175"/>
      <c r="AD191" s="1175"/>
      <c r="AE191" s="1175"/>
      <c r="AF191" s="1175"/>
      <c r="AG191" s="1175"/>
      <c r="AH191" s="1175"/>
      <c r="AI191" s="1175"/>
      <c r="AJ191" s="1175"/>
      <c r="AK191" s="1175"/>
      <c r="AL191" s="1175"/>
      <c r="AM191" s="1175"/>
      <c r="AN191" s="1175"/>
      <c r="AO191" s="1175"/>
      <c r="AP191" s="1175"/>
      <c r="AQ191" s="1175"/>
      <c r="AR191" s="1175"/>
      <c r="AS191" s="1175"/>
      <c r="AT191" s="1175"/>
      <c r="AU191" s="1175"/>
      <c r="AV191" s="1175"/>
      <c r="AW191" s="1175"/>
      <c r="AX191" s="1175"/>
      <c r="AY191" s="1175"/>
      <c r="AZ191" s="1175"/>
      <c r="BA191" s="1175"/>
      <c r="BB191" s="1175"/>
      <c r="BC191" s="1175"/>
      <c r="BD191" s="1175"/>
      <c r="BE191" s="1175"/>
      <c r="BF191" s="1175"/>
      <c r="BG191" s="1175"/>
      <c r="BH191" s="1175"/>
      <c r="BI191" s="1175"/>
      <c r="BJ191" s="1175"/>
      <c r="BK191" s="1175"/>
      <c r="BL191" s="1175"/>
      <c r="BM191" s="1175"/>
      <c r="BN191" s="1175"/>
      <c r="BO191" s="1175"/>
      <c r="BP191" s="1175"/>
      <c r="BQ191" s="1175"/>
      <c r="BR191" s="1175"/>
      <c r="BS191" s="1175"/>
      <c r="BT191" s="1175"/>
      <c r="BU191" s="1175"/>
      <c r="BV191" s="1175"/>
      <c r="BW191" s="1175"/>
      <c r="BX191" s="1175"/>
      <c r="BY191" s="1175"/>
      <c r="BZ191" s="1175"/>
      <c r="CA191" s="1175"/>
      <c r="CB191" s="1175"/>
      <c r="CC191" s="1175"/>
      <c r="CD191" s="1175"/>
      <c r="CE191" s="1175"/>
      <c r="CF191" s="1175"/>
      <c r="CG191" s="1175"/>
      <c r="CH191" s="1175"/>
      <c r="CI191" s="1175"/>
      <c r="CJ191" s="1175"/>
      <c r="CK191" s="1175"/>
      <c r="CL191" s="1175"/>
      <c r="CM191" s="1175"/>
      <c r="CN191" s="1175"/>
      <c r="CO191" s="1175"/>
      <c r="CP191" s="1175"/>
      <c r="CQ191" s="1175"/>
      <c r="CR191" s="1175"/>
      <c r="CS191" s="1175"/>
      <c r="CT191" s="1175"/>
      <c r="CU191" s="1175"/>
      <c r="CV191" s="1175"/>
      <c r="CW191" s="1175"/>
      <c r="CX191" s="1175"/>
      <c r="CY191" s="1175"/>
      <c r="CZ191" s="1175"/>
      <c r="DA191" s="1175"/>
      <c r="DB191" s="1175"/>
      <c r="DC191" s="1175"/>
      <c r="DD191" s="1175"/>
      <c r="DE191" s="1175"/>
      <c r="DF191" s="1175"/>
      <c r="DG191" s="1175"/>
      <c r="DH191" s="1175"/>
      <c r="DI191" s="1175"/>
      <c r="DJ191" s="1175"/>
      <c r="DK191" s="1175"/>
      <c r="DL191" s="1175"/>
      <c r="DM191" s="1175"/>
      <c r="DN191" s="1175"/>
      <c r="DO191" s="1175"/>
      <c r="DP191" s="1175"/>
      <c r="DQ191" s="1175"/>
      <c r="DR191" s="1175"/>
      <c r="DS191" s="1175"/>
    </row>
    <row r="192" spans="5:123" s="1187" customFormat="1" ht="18" customHeight="1" x14ac:dyDescent="0.3">
      <c r="E192" s="1175"/>
      <c r="F192" s="1175"/>
      <c r="G192" s="1175"/>
      <c r="H192" s="1175"/>
      <c r="I192" s="1175"/>
      <c r="J192" s="1175"/>
      <c r="K192" s="1175"/>
      <c r="L192" s="1175"/>
      <c r="M192" s="1175"/>
      <c r="N192" s="1175"/>
      <c r="O192" s="1175"/>
      <c r="P192" s="1175"/>
      <c r="Q192" s="1175"/>
      <c r="R192" s="1175"/>
      <c r="S192" s="1175"/>
      <c r="T192" s="1175"/>
      <c r="U192" s="1175"/>
      <c r="V192" s="1175"/>
      <c r="W192" s="1175"/>
      <c r="X192" s="1175"/>
      <c r="Y192" s="1175"/>
      <c r="Z192" s="1175"/>
      <c r="AA192" s="1175"/>
      <c r="AB192" s="1175"/>
      <c r="AC192" s="1175"/>
      <c r="AD192" s="1175"/>
      <c r="AE192" s="1175"/>
      <c r="AF192" s="1175"/>
      <c r="AG192" s="1175"/>
      <c r="AH192" s="1175"/>
      <c r="AI192" s="1175"/>
      <c r="AJ192" s="1175"/>
      <c r="AK192" s="1175"/>
      <c r="AL192" s="1175"/>
      <c r="AM192" s="1175"/>
      <c r="AN192" s="1175"/>
      <c r="AO192" s="1175"/>
      <c r="AP192" s="1175"/>
      <c r="AQ192" s="1175"/>
      <c r="AR192" s="1175"/>
      <c r="AS192" s="1175"/>
      <c r="AT192" s="1175"/>
      <c r="AU192" s="1175"/>
      <c r="AV192" s="1175"/>
      <c r="AW192" s="1175"/>
      <c r="AX192" s="1175"/>
      <c r="AY192" s="1175"/>
      <c r="AZ192" s="1175"/>
      <c r="BA192" s="1175"/>
      <c r="BB192" s="1175"/>
      <c r="BC192" s="1175"/>
      <c r="BD192" s="1175"/>
      <c r="BE192" s="1175"/>
      <c r="BF192" s="1175"/>
      <c r="BG192" s="1175"/>
      <c r="BH192" s="1175"/>
      <c r="BI192" s="1175"/>
      <c r="BJ192" s="1175"/>
      <c r="BK192" s="1175"/>
      <c r="BL192" s="1175"/>
      <c r="BM192" s="1175"/>
      <c r="BN192" s="1175"/>
      <c r="BO192" s="1175"/>
      <c r="BP192" s="1175"/>
      <c r="BQ192" s="1175"/>
      <c r="BR192" s="1175"/>
      <c r="BS192" s="1175"/>
      <c r="BT192" s="1175"/>
      <c r="BU192" s="1175"/>
      <c r="BV192" s="1175"/>
      <c r="BW192" s="1175"/>
      <c r="BX192" s="1175"/>
      <c r="BY192" s="1175"/>
      <c r="BZ192" s="1175"/>
      <c r="CA192" s="1175"/>
      <c r="CB192" s="1175"/>
      <c r="CC192" s="1175"/>
      <c r="CD192" s="1175"/>
      <c r="CE192" s="1175"/>
      <c r="CF192" s="1175"/>
      <c r="CG192" s="1175"/>
      <c r="CH192" s="1175"/>
      <c r="CI192" s="1175"/>
      <c r="CJ192" s="1175"/>
      <c r="CK192" s="1175"/>
      <c r="CL192" s="1175"/>
      <c r="CM192" s="1175"/>
      <c r="CN192" s="1175"/>
      <c r="CO192" s="1175"/>
      <c r="CP192" s="1175"/>
      <c r="CQ192" s="1175"/>
      <c r="CR192" s="1175"/>
      <c r="CS192" s="1175"/>
      <c r="CT192" s="1175"/>
      <c r="CU192" s="1175"/>
      <c r="CV192" s="1175"/>
      <c r="CW192" s="1175"/>
      <c r="CX192" s="1175"/>
      <c r="CY192" s="1175"/>
      <c r="CZ192" s="1175"/>
      <c r="DA192" s="1175"/>
      <c r="DB192" s="1175"/>
      <c r="DC192" s="1175"/>
      <c r="DD192" s="1175"/>
      <c r="DE192" s="1175"/>
      <c r="DF192" s="1175"/>
      <c r="DG192" s="1175"/>
      <c r="DH192" s="1175"/>
      <c r="DI192" s="1175"/>
      <c r="DJ192" s="1175"/>
      <c r="DK192" s="1175"/>
      <c r="DL192" s="1175"/>
      <c r="DM192" s="1175"/>
      <c r="DN192" s="1175"/>
      <c r="DO192" s="1175"/>
      <c r="DP192" s="1175"/>
      <c r="DQ192" s="1175"/>
      <c r="DR192" s="1175"/>
      <c r="DS192" s="1175"/>
    </row>
    <row r="193" spans="5:123" s="1187" customFormat="1" ht="18" customHeight="1" x14ac:dyDescent="0.3">
      <c r="E193" s="1175"/>
      <c r="F193" s="1175"/>
      <c r="G193" s="1175"/>
      <c r="H193" s="1175"/>
      <c r="I193" s="1175"/>
      <c r="J193" s="1175"/>
      <c r="K193" s="1175"/>
      <c r="L193" s="1175"/>
      <c r="M193" s="1175"/>
      <c r="N193" s="1175"/>
      <c r="O193" s="1175"/>
      <c r="P193" s="1175"/>
      <c r="Q193" s="1175"/>
      <c r="R193" s="1175"/>
      <c r="S193" s="1175"/>
      <c r="T193" s="1175"/>
      <c r="U193" s="1175"/>
      <c r="V193" s="1175"/>
      <c r="W193" s="1175"/>
      <c r="X193" s="1175"/>
      <c r="Y193" s="1175"/>
      <c r="Z193" s="1175"/>
      <c r="AA193" s="1175"/>
      <c r="AB193" s="1175"/>
      <c r="AC193" s="1175"/>
      <c r="AD193" s="1175"/>
      <c r="AE193" s="1175"/>
      <c r="AF193" s="1175"/>
      <c r="AG193" s="1175"/>
      <c r="AH193" s="1175"/>
      <c r="AI193" s="1175"/>
      <c r="AJ193" s="1175"/>
      <c r="AK193" s="1175"/>
      <c r="AL193" s="1175"/>
      <c r="AM193" s="1175"/>
      <c r="AN193" s="1175"/>
      <c r="AO193" s="1175"/>
      <c r="AP193" s="1175"/>
      <c r="AQ193" s="1175"/>
      <c r="AR193" s="1175"/>
      <c r="AS193" s="1175"/>
      <c r="AT193" s="1175"/>
      <c r="AU193" s="1175"/>
      <c r="AV193" s="1175"/>
      <c r="AW193" s="1175"/>
      <c r="AX193" s="1175"/>
      <c r="AY193" s="1175"/>
      <c r="AZ193" s="1175"/>
      <c r="BA193" s="1175"/>
      <c r="BB193" s="1175"/>
      <c r="BC193" s="1175"/>
      <c r="BD193" s="1175"/>
      <c r="BE193" s="1175"/>
      <c r="BF193" s="1175"/>
      <c r="BG193" s="1175"/>
      <c r="BH193" s="1175"/>
      <c r="BI193" s="1175"/>
      <c r="BJ193" s="1175"/>
      <c r="BK193" s="1175"/>
      <c r="BL193" s="1175"/>
      <c r="BM193" s="1175"/>
      <c r="BN193" s="1175"/>
      <c r="BO193" s="1175"/>
      <c r="BP193" s="1175"/>
      <c r="BQ193" s="1175"/>
      <c r="BR193" s="1175"/>
      <c r="BS193" s="1175"/>
      <c r="BT193" s="1175"/>
      <c r="BU193" s="1175"/>
      <c r="BV193" s="1175"/>
      <c r="BW193" s="1175"/>
      <c r="BX193" s="1175"/>
      <c r="BY193" s="1175"/>
      <c r="BZ193" s="1175"/>
      <c r="CA193" s="1175"/>
      <c r="CB193" s="1175"/>
      <c r="CC193" s="1175"/>
      <c r="CD193" s="1175"/>
      <c r="CE193" s="1175"/>
      <c r="CF193" s="1175"/>
      <c r="CG193" s="1175"/>
      <c r="CH193" s="1175"/>
      <c r="CI193" s="1175"/>
      <c r="CJ193" s="1175"/>
      <c r="CK193" s="1175"/>
      <c r="CL193" s="1175"/>
      <c r="CM193" s="1175"/>
      <c r="CN193" s="1175"/>
      <c r="CO193" s="1175"/>
      <c r="CP193" s="1175"/>
      <c r="CQ193" s="1175"/>
      <c r="CR193" s="1175"/>
      <c r="CS193" s="1175"/>
      <c r="CT193" s="1175"/>
      <c r="CU193" s="1175"/>
      <c r="CV193" s="1175"/>
      <c r="CW193" s="1175"/>
      <c r="CX193" s="1175"/>
      <c r="CY193" s="1175"/>
      <c r="CZ193" s="1175"/>
      <c r="DA193" s="1175"/>
      <c r="DB193" s="1175"/>
      <c r="DC193" s="1175"/>
      <c r="DD193" s="1175"/>
      <c r="DE193" s="1175"/>
      <c r="DF193" s="1175"/>
      <c r="DG193" s="1175"/>
      <c r="DH193" s="1175"/>
      <c r="DI193" s="1175"/>
      <c r="DJ193" s="1175"/>
      <c r="DK193" s="1175"/>
      <c r="DL193" s="1175"/>
      <c r="DM193" s="1175"/>
      <c r="DN193" s="1175"/>
      <c r="DO193" s="1175"/>
      <c r="DP193" s="1175"/>
      <c r="DQ193" s="1175"/>
      <c r="DR193" s="1175"/>
      <c r="DS193" s="1175"/>
    </row>
    <row r="194" spans="5:123" s="1187" customFormat="1" ht="18" customHeight="1" x14ac:dyDescent="0.3">
      <c r="E194" s="1175"/>
      <c r="F194" s="1175"/>
      <c r="G194" s="1175"/>
      <c r="H194" s="1175"/>
      <c r="I194" s="1175"/>
      <c r="J194" s="1175"/>
      <c r="K194" s="1175"/>
      <c r="L194" s="1175"/>
      <c r="M194" s="1175"/>
      <c r="N194" s="1175"/>
      <c r="O194" s="1175"/>
      <c r="P194" s="1175"/>
      <c r="Q194" s="1175"/>
      <c r="R194" s="1175"/>
      <c r="S194" s="1175"/>
      <c r="T194" s="1175"/>
      <c r="U194" s="1175"/>
      <c r="V194" s="1175"/>
      <c r="W194" s="1175"/>
      <c r="X194" s="1175"/>
      <c r="Y194" s="1175"/>
      <c r="Z194" s="1175"/>
      <c r="AA194" s="1175"/>
      <c r="AB194" s="1175"/>
      <c r="AC194" s="1175"/>
      <c r="AD194" s="1175"/>
      <c r="AE194" s="1175"/>
      <c r="AF194" s="1175"/>
      <c r="AG194" s="1175"/>
      <c r="AH194" s="1175"/>
      <c r="AI194" s="1175"/>
      <c r="AJ194" s="1175"/>
      <c r="AK194" s="1175"/>
      <c r="AL194" s="1175"/>
      <c r="AM194" s="1175"/>
      <c r="AN194" s="1175"/>
      <c r="AO194" s="1175"/>
      <c r="AP194" s="1175"/>
      <c r="AQ194" s="1175"/>
      <c r="AR194" s="1175"/>
      <c r="AS194" s="1175"/>
      <c r="AT194" s="1175"/>
      <c r="AU194" s="1175"/>
      <c r="AV194" s="1175"/>
      <c r="AW194" s="1175"/>
      <c r="AX194" s="1175"/>
      <c r="AY194" s="1175"/>
      <c r="AZ194" s="1175"/>
      <c r="BA194" s="1175"/>
      <c r="BB194" s="1175"/>
      <c r="BC194" s="1175"/>
      <c r="BD194" s="1175"/>
      <c r="BE194" s="1175"/>
      <c r="BF194" s="1175"/>
      <c r="BG194" s="1175"/>
      <c r="BH194" s="1175"/>
      <c r="BI194" s="1175"/>
      <c r="BJ194" s="1175"/>
      <c r="BK194" s="1175"/>
      <c r="BL194" s="1175"/>
      <c r="BM194" s="1175"/>
      <c r="BN194" s="1175"/>
      <c r="BO194" s="1175"/>
      <c r="BP194" s="1175"/>
      <c r="BQ194" s="1175"/>
      <c r="BR194" s="1175"/>
      <c r="BS194" s="1175"/>
      <c r="BT194" s="1175"/>
      <c r="BU194" s="1175"/>
      <c r="BV194" s="1175"/>
      <c r="BW194" s="1175"/>
      <c r="BX194" s="1175"/>
      <c r="BY194" s="1175"/>
      <c r="BZ194" s="1175"/>
      <c r="CA194" s="1175"/>
      <c r="CB194" s="1175"/>
      <c r="CC194" s="1175"/>
      <c r="CD194" s="1175"/>
      <c r="CE194" s="1175"/>
      <c r="CF194" s="1175"/>
      <c r="CG194" s="1175"/>
      <c r="CH194" s="1175"/>
      <c r="CI194" s="1175"/>
      <c r="CJ194" s="1175"/>
      <c r="CK194" s="1175"/>
      <c r="CL194" s="1175"/>
      <c r="CM194" s="1175"/>
      <c r="CN194" s="1175"/>
      <c r="CO194" s="1175"/>
      <c r="CP194" s="1175"/>
      <c r="CQ194" s="1175"/>
      <c r="CR194" s="1175"/>
      <c r="CS194" s="1175"/>
      <c r="CT194" s="1175"/>
      <c r="CU194" s="1175"/>
      <c r="CV194" s="1175"/>
      <c r="CW194" s="1175"/>
      <c r="CX194" s="1175"/>
      <c r="CY194" s="1175"/>
      <c r="CZ194" s="1175"/>
      <c r="DA194" s="1175"/>
      <c r="DB194" s="1175"/>
      <c r="DC194" s="1175"/>
      <c r="DD194" s="1175"/>
      <c r="DE194" s="1175"/>
      <c r="DF194" s="1175"/>
      <c r="DG194" s="1175"/>
      <c r="DH194" s="1175"/>
      <c r="DI194" s="1175"/>
      <c r="DJ194" s="1175"/>
      <c r="DK194" s="1175"/>
      <c r="DL194" s="1175"/>
      <c r="DM194" s="1175"/>
      <c r="DN194" s="1175"/>
      <c r="DO194" s="1175"/>
      <c r="DP194" s="1175"/>
      <c r="DQ194" s="1175"/>
      <c r="DR194" s="1175"/>
      <c r="DS194" s="1175"/>
    </row>
    <row r="195" spans="5:123" s="1187" customFormat="1" ht="18" customHeight="1" x14ac:dyDescent="0.3">
      <c r="E195" s="1175"/>
      <c r="F195" s="1175"/>
      <c r="G195" s="1175"/>
      <c r="H195" s="1175"/>
      <c r="I195" s="1175"/>
      <c r="J195" s="1175"/>
      <c r="K195" s="1175"/>
      <c r="L195" s="1175"/>
      <c r="M195" s="1175"/>
      <c r="N195" s="1175"/>
      <c r="O195" s="1175"/>
      <c r="P195" s="1175"/>
      <c r="Q195" s="1175"/>
      <c r="R195" s="1175"/>
      <c r="S195" s="1175"/>
      <c r="T195" s="1175"/>
      <c r="U195" s="1175"/>
      <c r="V195" s="1175"/>
      <c r="W195" s="1175"/>
      <c r="X195" s="1175"/>
      <c r="Y195" s="1175"/>
      <c r="Z195" s="1175"/>
      <c r="AA195" s="1175"/>
      <c r="AB195" s="1175"/>
      <c r="AC195" s="1175"/>
      <c r="AD195" s="1175"/>
      <c r="AE195" s="1175"/>
      <c r="AF195" s="1175"/>
      <c r="AG195" s="1175"/>
      <c r="AH195" s="1175"/>
      <c r="AI195" s="1175"/>
      <c r="AJ195" s="1175"/>
      <c r="AK195" s="1175"/>
      <c r="AL195" s="1175"/>
      <c r="AM195" s="1175"/>
      <c r="AN195" s="1175"/>
      <c r="AO195" s="1175"/>
      <c r="AP195" s="1175"/>
      <c r="AQ195" s="1175"/>
      <c r="AR195" s="1175"/>
      <c r="AS195" s="1175"/>
      <c r="AT195" s="1175"/>
      <c r="AU195" s="1175"/>
      <c r="AV195" s="1175"/>
      <c r="AW195" s="1175"/>
      <c r="AX195" s="1175"/>
      <c r="AY195" s="1175"/>
      <c r="AZ195" s="1175"/>
      <c r="BA195" s="1175"/>
      <c r="BB195" s="1175"/>
      <c r="BC195" s="1175"/>
      <c r="BD195" s="1175"/>
      <c r="BE195" s="1175"/>
      <c r="BF195" s="1175"/>
      <c r="BG195" s="1175"/>
      <c r="BH195" s="1175"/>
      <c r="BI195" s="1175"/>
      <c r="BJ195" s="1175"/>
      <c r="BK195" s="1175"/>
      <c r="BL195" s="1175"/>
      <c r="BM195" s="1175"/>
      <c r="BN195" s="1175"/>
      <c r="BO195" s="1175"/>
      <c r="BP195" s="1175"/>
      <c r="BQ195" s="1175"/>
      <c r="BR195" s="1175"/>
      <c r="BS195" s="1175"/>
      <c r="BT195" s="1175"/>
      <c r="BU195" s="1175"/>
      <c r="BV195" s="1175"/>
      <c r="BW195" s="1175"/>
      <c r="BX195" s="1175"/>
      <c r="BY195" s="1175"/>
      <c r="BZ195" s="1175"/>
      <c r="CA195" s="1175"/>
      <c r="CB195" s="1175"/>
      <c r="CC195" s="1175"/>
      <c r="CD195" s="1175"/>
      <c r="CE195" s="1175"/>
      <c r="CF195" s="1175"/>
      <c r="CG195" s="1175"/>
      <c r="CH195" s="1175"/>
      <c r="CI195" s="1175"/>
      <c r="CJ195" s="1175"/>
      <c r="CK195" s="1175"/>
      <c r="CL195" s="1175"/>
      <c r="CM195" s="1175"/>
      <c r="CN195" s="1175"/>
      <c r="CO195" s="1175"/>
      <c r="CP195" s="1175"/>
      <c r="CQ195" s="1175"/>
      <c r="CR195" s="1175"/>
      <c r="CS195" s="1175"/>
      <c r="CT195" s="1175"/>
      <c r="CU195" s="1175"/>
      <c r="CV195" s="1175"/>
      <c r="CW195" s="1175"/>
      <c r="CX195" s="1175"/>
      <c r="CY195" s="1175"/>
      <c r="CZ195" s="1175"/>
      <c r="DA195" s="1175"/>
      <c r="DB195" s="1175"/>
      <c r="DC195" s="1175"/>
      <c r="DD195" s="1175"/>
      <c r="DE195" s="1175"/>
      <c r="DF195" s="1175"/>
      <c r="DG195" s="1175"/>
      <c r="DH195" s="1175"/>
      <c r="DI195" s="1175"/>
      <c r="DJ195" s="1175"/>
      <c r="DK195" s="1175"/>
      <c r="DL195" s="1175"/>
      <c r="DM195" s="1175"/>
      <c r="DN195" s="1175"/>
      <c r="DO195" s="1175"/>
      <c r="DP195" s="1175"/>
      <c r="DQ195" s="1175"/>
      <c r="DR195" s="1175"/>
      <c r="DS195" s="1175"/>
    </row>
    <row r="196" spans="5:123" s="1187" customFormat="1" ht="18" customHeight="1" x14ac:dyDescent="0.3">
      <c r="E196" s="1175"/>
      <c r="F196" s="1175"/>
      <c r="G196" s="1175"/>
      <c r="H196" s="1175"/>
      <c r="I196" s="1175"/>
      <c r="J196" s="1175"/>
      <c r="K196" s="1175"/>
      <c r="L196" s="1175"/>
      <c r="M196" s="1175"/>
      <c r="N196" s="1175"/>
      <c r="O196" s="1175"/>
      <c r="P196" s="1175"/>
      <c r="Q196" s="1175"/>
      <c r="R196" s="1175"/>
      <c r="S196" s="1175"/>
      <c r="T196" s="1175"/>
      <c r="U196" s="1175"/>
      <c r="V196" s="1175"/>
      <c r="W196" s="1175"/>
      <c r="X196" s="1175"/>
      <c r="Y196" s="1175"/>
      <c r="Z196" s="1175"/>
      <c r="AA196" s="1175"/>
      <c r="AB196" s="1175"/>
      <c r="AC196" s="1175"/>
      <c r="AD196" s="1175"/>
      <c r="AE196" s="1175"/>
      <c r="AF196" s="1175"/>
      <c r="AG196" s="1175"/>
      <c r="AH196" s="1175"/>
      <c r="AI196" s="1175"/>
      <c r="AJ196" s="1175"/>
      <c r="AK196" s="1175"/>
      <c r="AL196" s="1175"/>
      <c r="AM196" s="1175"/>
      <c r="AN196" s="1175"/>
      <c r="AO196" s="1175"/>
      <c r="AP196" s="1175"/>
      <c r="AQ196" s="1175"/>
      <c r="AR196" s="1175"/>
      <c r="AS196" s="1175"/>
      <c r="AT196" s="1175"/>
      <c r="AU196" s="1175"/>
      <c r="AV196" s="1175"/>
      <c r="AW196" s="1175"/>
      <c r="AX196" s="1175"/>
      <c r="AY196" s="1175"/>
      <c r="AZ196" s="1175"/>
      <c r="BA196" s="1175"/>
      <c r="BB196" s="1175"/>
      <c r="BC196" s="1175"/>
      <c r="BD196" s="1175"/>
      <c r="BE196" s="1175"/>
      <c r="BF196" s="1175"/>
      <c r="BG196" s="1175"/>
      <c r="BH196" s="1175"/>
      <c r="BI196" s="1175"/>
      <c r="BJ196" s="1175"/>
      <c r="BK196" s="1175"/>
      <c r="BL196" s="1175"/>
      <c r="BM196" s="1175"/>
      <c r="BN196" s="1175"/>
      <c r="BO196" s="1175"/>
      <c r="BP196" s="1175"/>
      <c r="BQ196" s="1175"/>
      <c r="BR196" s="1175"/>
      <c r="BS196" s="1175"/>
      <c r="BT196" s="1175"/>
      <c r="BU196" s="1175"/>
      <c r="BV196" s="1175"/>
      <c r="BW196" s="1175"/>
      <c r="BX196" s="1175"/>
      <c r="BY196" s="1175"/>
      <c r="BZ196" s="1175"/>
      <c r="CA196" s="1175"/>
      <c r="CB196" s="1175"/>
      <c r="CC196" s="1175"/>
      <c r="CD196" s="1175"/>
      <c r="CE196" s="1175"/>
      <c r="CF196" s="1175"/>
      <c r="CG196" s="1175"/>
      <c r="CH196" s="1175"/>
      <c r="CI196" s="1175"/>
      <c r="CJ196" s="1175"/>
      <c r="CK196" s="1175"/>
      <c r="CL196" s="1175"/>
      <c r="CM196" s="1175"/>
      <c r="CN196" s="1175"/>
      <c r="CO196" s="1175"/>
      <c r="CP196" s="1175"/>
      <c r="CQ196" s="1175"/>
      <c r="CR196" s="1175"/>
      <c r="CS196" s="1175"/>
      <c r="CT196" s="1175"/>
      <c r="CU196" s="1175"/>
      <c r="CV196" s="1175"/>
      <c r="CW196" s="1175"/>
      <c r="CX196" s="1175"/>
      <c r="CY196" s="1175"/>
      <c r="CZ196" s="1175"/>
      <c r="DA196" s="1175"/>
      <c r="DB196" s="1175"/>
      <c r="DC196" s="1175"/>
      <c r="DD196" s="1175"/>
      <c r="DE196" s="1175"/>
      <c r="DF196" s="1175"/>
      <c r="DG196" s="1175"/>
      <c r="DH196" s="1175"/>
      <c r="DI196" s="1175"/>
      <c r="DJ196" s="1175"/>
      <c r="DK196" s="1175"/>
      <c r="DL196" s="1175"/>
      <c r="DM196" s="1175"/>
      <c r="DN196" s="1175"/>
      <c r="DO196" s="1175"/>
      <c r="DP196" s="1175"/>
      <c r="DQ196" s="1175"/>
      <c r="DR196" s="1175"/>
      <c r="DS196" s="1175"/>
    </row>
    <row r="197" spans="5:123" s="1187" customFormat="1" ht="18" customHeight="1" x14ac:dyDescent="0.3">
      <c r="E197" s="1175"/>
      <c r="F197" s="1175"/>
      <c r="G197" s="1175"/>
      <c r="H197" s="1175"/>
      <c r="I197" s="1175"/>
      <c r="J197" s="1175"/>
      <c r="K197" s="1175"/>
      <c r="L197" s="1175"/>
      <c r="M197" s="1175"/>
      <c r="N197" s="1175"/>
      <c r="O197" s="1175"/>
      <c r="P197" s="1175"/>
      <c r="Q197" s="1175"/>
      <c r="R197" s="1175"/>
      <c r="S197" s="1175"/>
      <c r="T197" s="1175"/>
      <c r="U197" s="1175"/>
      <c r="V197" s="1175"/>
      <c r="W197" s="1175"/>
      <c r="X197" s="1175"/>
      <c r="Y197" s="1175"/>
      <c r="Z197" s="1175"/>
      <c r="AA197" s="1175"/>
      <c r="AB197" s="1175"/>
      <c r="AC197" s="1175"/>
      <c r="AD197" s="1175"/>
      <c r="AE197" s="1175"/>
      <c r="AF197" s="1175"/>
      <c r="AG197" s="1175"/>
      <c r="AH197" s="1175"/>
      <c r="AI197" s="1175"/>
      <c r="AJ197" s="1175"/>
      <c r="AK197" s="1175"/>
      <c r="AL197" s="1175"/>
      <c r="AM197" s="1175"/>
      <c r="AN197" s="1175"/>
      <c r="AO197" s="1175"/>
      <c r="AP197" s="1175"/>
      <c r="AQ197" s="1175"/>
      <c r="AR197" s="1175"/>
      <c r="AS197" s="1175"/>
      <c r="AT197" s="1175"/>
      <c r="AU197" s="1175"/>
      <c r="AV197" s="1175"/>
      <c r="AW197" s="1175"/>
      <c r="AX197" s="1175"/>
      <c r="AY197" s="1175"/>
      <c r="AZ197" s="1175"/>
      <c r="BA197" s="1175"/>
      <c r="BB197" s="1175"/>
      <c r="BC197" s="1175"/>
      <c r="BD197" s="1175"/>
      <c r="BE197" s="1175"/>
      <c r="BF197" s="1175"/>
      <c r="BG197" s="1175"/>
      <c r="BH197" s="1175"/>
      <c r="BI197" s="1175"/>
      <c r="BJ197" s="1175"/>
      <c r="BK197" s="1175"/>
      <c r="BL197" s="1175"/>
      <c r="BM197" s="1175"/>
      <c r="BN197" s="1175"/>
      <c r="BO197" s="1175"/>
      <c r="BP197" s="1175"/>
      <c r="BQ197" s="1175"/>
      <c r="BR197" s="1175"/>
      <c r="BS197" s="1175"/>
      <c r="BT197" s="1175"/>
      <c r="BU197" s="1175"/>
      <c r="BV197" s="1175"/>
      <c r="BW197" s="1175"/>
      <c r="BX197" s="1175"/>
      <c r="BY197" s="1175"/>
      <c r="BZ197" s="1175"/>
      <c r="CA197" s="1175"/>
      <c r="CB197" s="1175"/>
      <c r="CC197" s="1175"/>
      <c r="CD197" s="1175"/>
      <c r="CE197" s="1175"/>
      <c r="CF197" s="1175"/>
      <c r="CG197" s="1175"/>
      <c r="CH197" s="1175"/>
      <c r="CI197" s="1175"/>
      <c r="CJ197" s="1175"/>
      <c r="CK197" s="1175"/>
      <c r="CL197" s="1175"/>
      <c r="CM197" s="1175"/>
      <c r="CN197" s="1175"/>
      <c r="CO197" s="1175"/>
      <c r="CP197" s="1175"/>
      <c r="CQ197" s="1175"/>
      <c r="CR197" s="1175"/>
      <c r="CS197" s="1175"/>
      <c r="CT197" s="1175"/>
      <c r="CU197" s="1175"/>
      <c r="CV197" s="1175"/>
      <c r="CW197" s="1175"/>
      <c r="CX197" s="1175"/>
      <c r="CY197" s="1175"/>
      <c r="CZ197" s="1175"/>
      <c r="DA197" s="1175"/>
      <c r="DB197" s="1175"/>
      <c r="DC197" s="1175"/>
      <c r="DD197" s="1175"/>
      <c r="DE197" s="1175"/>
      <c r="DF197" s="1175"/>
      <c r="DG197" s="1175"/>
      <c r="DH197" s="1175"/>
      <c r="DI197" s="1175"/>
      <c r="DJ197" s="1175"/>
      <c r="DK197" s="1175"/>
      <c r="DL197" s="1175"/>
      <c r="DM197" s="1175"/>
      <c r="DN197" s="1175"/>
      <c r="DO197" s="1175"/>
      <c r="DP197" s="1175"/>
      <c r="DQ197" s="1175"/>
      <c r="DR197" s="1175"/>
      <c r="DS197" s="1175"/>
    </row>
    <row r="198" spans="5:123" s="1187" customFormat="1" ht="18" customHeight="1" x14ac:dyDescent="0.3">
      <c r="E198" s="1175"/>
      <c r="F198" s="1175"/>
      <c r="G198" s="1175"/>
      <c r="H198" s="1175"/>
      <c r="I198" s="1175"/>
      <c r="J198" s="1175"/>
      <c r="K198" s="1175"/>
      <c r="L198" s="1175"/>
      <c r="M198" s="1175"/>
      <c r="N198" s="1175"/>
      <c r="O198" s="1175"/>
      <c r="P198" s="1175"/>
      <c r="Q198" s="1175"/>
      <c r="R198" s="1175"/>
      <c r="S198" s="1175"/>
      <c r="T198" s="1175"/>
      <c r="U198" s="1175"/>
      <c r="V198" s="1175"/>
      <c r="W198" s="1175"/>
      <c r="X198" s="1175"/>
      <c r="Y198" s="1175"/>
      <c r="Z198" s="1175"/>
      <c r="AA198" s="1175"/>
      <c r="AB198" s="1175"/>
      <c r="AC198" s="1175"/>
      <c r="AD198" s="1175"/>
      <c r="AE198" s="1175"/>
      <c r="AF198" s="1175"/>
      <c r="AG198" s="1175"/>
      <c r="AH198" s="1175"/>
      <c r="AI198" s="1175"/>
      <c r="AJ198" s="1175"/>
      <c r="AK198" s="1175"/>
      <c r="AL198" s="1175"/>
      <c r="AM198" s="1175"/>
      <c r="AN198" s="1175"/>
      <c r="AO198" s="1175"/>
      <c r="AP198" s="1175"/>
      <c r="AQ198" s="1175"/>
      <c r="AR198" s="1175"/>
      <c r="AS198" s="1175"/>
      <c r="AT198" s="1175"/>
      <c r="AU198" s="1175"/>
      <c r="AV198" s="1175"/>
      <c r="AW198" s="1175"/>
      <c r="AX198" s="1175"/>
      <c r="AY198" s="1175"/>
      <c r="AZ198" s="1175"/>
      <c r="BA198" s="1175"/>
      <c r="BB198" s="1175"/>
      <c r="BC198" s="1175"/>
      <c r="BD198" s="1175"/>
      <c r="BE198" s="1175"/>
      <c r="BF198" s="1175"/>
      <c r="BG198" s="1175"/>
      <c r="BH198" s="1175"/>
      <c r="BI198" s="1175"/>
      <c r="BJ198" s="1175"/>
      <c r="BK198" s="1175"/>
      <c r="BL198" s="1175"/>
      <c r="BM198" s="1175"/>
      <c r="BN198" s="1175"/>
      <c r="BO198" s="1175"/>
      <c r="BP198" s="1175"/>
      <c r="BQ198" s="1175"/>
      <c r="BR198" s="1175"/>
      <c r="BS198" s="1175"/>
      <c r="BT198" s="1175"/>
      <c r="BU198" s="1175"/>
      <c r="BV198" s="1175"/>
      <c r="BW198" s="1175"/>
      <c r="BX198" s="1175"/>
      <c r="BY198" s="1175"/>
      <c r="BZ198" s="1175"/>
      <c r="CA198" s="1175"/>
      <c r="CB198" s="1175"/>
      <c r="CC198" s="1175"/>
      <c r="CD198" s="1175"/>
      <c r="CE198" s="1175"/>
      <c r="CF198" s="1175"/>
      <c r="CG198" s="1175"/>
      <c r="CH198" s="1175"/>
      <c r="CI198" s="1175"/>
      <c r="CJ198" s="1175"/>
      <c r="CK198" s="1175"/>
      <c r="CL198" s="1175"/>
      <c r="CM198" s="1175"/>
      <c r="CN198" s="1175"/>
      <c r="CO198" s="1175"/>
      <c r="CP198" s="1175"/>
      <c r="CQ198" s="1175"/>
      <c r="CR198" s="1175"/>
      <c r="CS198" s="1175"/>
      <c r="CT198" s="1175"/>
      <c r="CU198" s="1175"/>
      <c r="CV198" s="1175"/>
      <c r="CW198" s="1175"/>
      <c r="CX198" s="1175"/>
      <c r="CY198" s="1175"/>
      <c r="CZ198" s="1175"/>
      <c r="DA198" s="1175"/>
      <c r="DB198" s="1175"/>
      <c r="DC198" s="1175"/>
      <c r="DD198" s="1175"/>
      <c r="DE198" s="1175"/>
      <c r="DF198" s="1175"/>
      <c r="DG198" s="1175"/>
      <c r="DH198" s="1175"/>
      <c r="DI198" s="1175"/>
      <c r="DJ198" s="1175"/>
      <c r="DK198" s="1175"/>
      <c r="DL198" s="1175"/>
      <c r="DM198" s="1175"/>
      <c r="DN198" s="1175"/>
      <c r="DO198" s="1175"/>
      <c r="DP198" s="1175"/>
      <c r="DQ198" s="1175"/>
      <c r="DR198" s="1175"/>
      <c r="DS198" s="1175"/>
    </row>
    <row r="199" spans="5:123" s="1187" customFormat="1" ht="18" customHeight="1" x14ac:dyDescent="0.3">
      <c r="E199" s="1175"/>
      <c r="F199" s="1175"/>
      <c r="G199" s="1175"/>
      <c r="H199" s="1175"/>
      <c r="I199" s="1175"/>
      <c r="J199" s="1175"/>
      <c r="K199" s="1175"/>
      <c r="L199" s="1175"/>
      <c r="M199" s="1175"/>
      <c r="N199" s="1175"/>
      <c r="O199" s="1175"/>
      <c r="P199" s="1175"/>
      <c r="Q199" s="1175"/>
      <c r="R199" s="1175"/>
      <c r="S199" s="1175"/>
      <c r="T199" s="1175"/>
      <c r="U199" s="1175"/>
      <c r="V199" s="1175"/>
      <c r="W199" s="1175"/>
      <c r="X199" s="1175"/>
      <c r="Y199" s="1175"/>
      <c r="Z199" s="1175"/>
      <c r="AA199" s="1175"/>
      <c r="AB199" s="1175"/>
      <c r="AC199" s="1175"/>
      <c r="AD199" s="1175"/>
      <c r="AE199" s="1175"/>
      <c r="AF199" s="1175"/>
      <c r="AG199" s="1175"/>
      <c r="AH199" s="1175"/>
      <c r="AI199" s="1175"/>
      <c r="AJ199" s="1175"/>
      <c r="AK199" s="1175"/>
      <c r="AL199" s="1175"/>
      <c r="AM199" s="1175"/>
      <c r="AN199" s="1175"/>
      <c r="AO199" s="1175"/>
      <c r="AP199" s="1175"/>
      <c r="AQ199" s="1175"/>
      <c r="AR199" s="1175"/>
      <c r="AS199" s="1175"/>
      <c r="AT199" s="1175"/>
      <c r="AU199" s="1175"/>
      <c r="AV199" s="1175"/>
      <c r="AW199" s="1175"/>
      <c r="AX199" s="1175"/>
      <c r="AY199" s="1175"/>
      <c r="AZ199" s="1175"/>
      <c r="BA199" s="1175"/>
      <c r="BB199" s="1175"/>
      <c r="BC199" s="1175"/>
      <c r="BD199" s="1175"/>
      <c r="BE199" s="1175"/>
      <c r="BF199" s="1175"/>
      <c r="BG199" s="1175"/>
      <c r="BH199" s="1175"/>
      <c r="BI199" s="1175"/>
      <c r="BJ199" s="1175"/>
      <c r="BK199" s="1175"/>
      <c r="BL199" s="1175"/>
      <c r="BM199" s="1175"/>
      <c r="BN199" s="1175"/>
      <c r="BO199" s="1175"/>
      <c r="BP199" s="1175"/>
      <c r="BQ199" s="1175"/>
      <c r="BR199" s="1175"/>
      <c r="BS199" s="1175"/>
      <c r="BT199" s="1175"/>
      <c r="BU199" s="1175"/>
      <c r="BV199" s="1175"/>
      <c r="BW199" s="1175"/>
      <c r="BX199" s="1175"/>
      <c r="BY199" s="1175"/>
      <c r="BZ199" s="1175"/>
      <c r="CA199" s="1175"/>
      <c r="CB199" s="1175"/>
      <c r="CC199" s="1175"/>
      <c r="CD199" s="1175"/>
      <c r="CE199" s="1175"/>
      <c r="CF199" s="1175"/>
      <c r="CG199" s="1175"/>
      <c r="CH199" s="1175"/>
      <c r="CI199" s="1175"/>
      <c r="CJ199" s="1175"/>
      <c r="CK199" s="1175"/>
      <c r="CL199" s="1175"/>
      <c r="CM199" s="1175"/>
      <c r="CN199" s="1175"/>
      <c r="CO199" s="1175"/>
      <c r="CP199" s="1175"/>
      <c r="CQ199" s="1175"/>
      <c r="CR199" s="1175"/>
      <c r="CS199" s="1175"/>
      <c r="CT199" s="1175"/>
      <c r="CU199" s="1175"/>
      <c r="CV199" s="1175"/>
      <c r="CW199" s="1175"/>
      <c r="CX199" s="1175"/>
      <c r="CY199" s="1175"/>
      <c r="CZ199" s="1175"/>
      <c r="DA199" s="1175"/>
      <c r="DB199" s="1175"/>
      <c r="DC199" s="1175"/>
      <c r="DD199" s="1175"/>
      <c r="DE199" s="1175"/>
      <c r="DF199" s="1175"/>
      <c r="DG199" s="1175"/>
      <c r="DH199" s="1175"/>
      <c r="DI199" s="1175"/>
      <c r="DJ199" s="1175"/>
      <c r="DK199" s="1175"/>
      <c r="DL199" s="1175"/>
      <c r="DM199" s="1175"/>
      <c r="DN199" s="1175"/>
      <c r="DO199" s="1175"/>
      <c r="DP199" s="1175"/>
      <c r="DQ199" s="1175"/>
      <c r="DR199" s="1175"/>
      <c r="DS199" s="1175"/>
    </row>
    <row r="200" spans="5:123" s="1187" customFormat="1" ht="18" customHeight="1" x14ac:dyDescent="0.3">
      <c r="E200" s="1175"/>
      <c r="F200" s="1175"/>
      <c r="G200" s="1175"/>
      <c r="H200" s="1175"/>
      <c r="I200" s="1175"/>
      <c r="J200" s="1175"/>
      <c r="K200" s="1175"/>
      <c r="L200" s="1175"/>
      <c r="M200" s="1175"/>
      <c r="N200" s="1175"/>
      <c r="O200" s="1175"/>
      <c r="P200" s="1175"/>
      <c r="Q200" s="1175"/>
      <c r="R200" s="1175"/>
      <c r="S200" s="1175"/>
      <c r="T200" s="1175"/>
      <c r="U200" s="1175"/>
      <c r="V200" s="1175"/>
      <c r="W200" s="1175"/>
      <c r="X200" s="1175"/>
      <c r="Y200" s="1175"/>
      <c r="Z200" s="1175"/>
      <c r="AA200" s="1175"/>
      <c r="AB200" s="1175"/>
      <c r="AC200" s="1175"/>
      <c r="AD200" s="1175"/>
      <c r="AE200" s="1175"/>
      <c r="AF200" s="1175"/>
      <c r="AG200" s="1175"/>
      <c r="AH200" s="1175"/>
      <c r="AI200" s="1175"/>
      <c r="AJ200" s="1175"/>
      <c r="AK200" s="1175"/>
      <c r="AL200" s="1175"/>
      <c r="AM200" s="1175"/>
      <c r="AN200" s="1175"/>
      <c r="AO200" s="1175"/>
      <c r="AP200" s="1175"/>
      <c r="AQ200" s="1175"/>
      <c r="AR200" s="1175"/>
      <c r="AS200" s="1175"/>
      <c r="AT200" s="1175"/>
      <c r="AU200" s="1175"/>
      <c r="AV200" s="1175"/>
      <c r="AW200" s="1175"/>
      <c r="AX200" s="1175"/>
      <c r="AY200" s="1175"/>
      <c r="AZ200" s="1175"/>
      <c r="BA200" s="1175"/>
      <c r="BB200" s="1175"/>
      <c r="BC200" s="1175"/>
      <c r="BD200" s="1175"/>
      <c r="BE200" s="1175"/>
      <c r="BF200" s="1175"/>
      <c r="BG200" s="1175"/>
      <c r="BH200" s="1175"/>
      <c r="BI200" s="1175"/>
      <c r="BJ200" s="1175"/>
      <c r="BK200" s="1175"/>
      <c r="BL200" s="1175"/>
      <c r="BM200" s="1175"/>
      <c r="BN200" s="1175"/>
      <c r="BO200" s="1175"/>
      <c r="BP200" s="1175"/>
      <c r="BQ200" s="1175"/>
      <c r="BR200" s="1175"/>
      <c r="BS200" s="1175"/>
      <c r="BT200" s="1175"/>
      <c r="BU200" s="1175"/>
      <c r="BV200" s="1175"/>
      <c r="BW200" s="1175"/>
      <c r="BX200" s="1175"/>
      <c r="BY200" s="1175"/>
      <c r="BZ200" s="1175"/>
      <c r="CA200" s="1175"/>
      <c r="CB200" s="1175"/>
      <c r="CC200" s="1175"/>
      <c r="CD200" s="1175"/>
      <c r="CE200" s="1175"/>
      <c r="CF200" s="1175"/>
      <c r="CG200" s="1175"/>
      <c r="CH200" s="1175"/>
      <c r="CI200" s="1175"/>
      <c r="CJ200" s="1175"/>
      <c r="CK200" s="1175"/>
      <c r="CL200" s="1175"/>
      <c r="CM200" s="1175"/>
      <c r="CN200" s="1175"/>
      <c r="CO200" s="1175"/>
      <c r="CP200" s="1175"/>
      <c r="CQ200" s="1175"/>
      <c r="CR200" s="1175"/>
      <c r="CS200" s="1175"/>
      <c r="CT200" s="1175"/>
      <c r="CU200" s="1175"/>
      <c r="CV200" s="1175"/>
      <c r="CW200" s="1175"/>
      <c r="CX200" s="1175"/>
      <c r="CY200" s="1175"/>
      <c r="CZ200" s="1175"/>
      <c r="DA200" s="1175"/>
      <c r="DB200" s="1175"/>
      <c r="DC200" s="1175"/>
      <c r="DD200" s="1175"/>
      <c r="DE200" s="1175"/>
      <c r="DF200" s="1175"/>
      <c r="DG200" s="1175"/>
      <c r="DH200" s="1175"/>
      <c r="DI200" s="1175"/>
      <c r="DJ200" s="1175"/>
      <c r="DK200" s="1175"/>
      <c r="DL200" s="1175"/>
      <c r="DM200" s="1175"/>
      <c r="DN200" s="1175"/>
      <c r="DO200" s="1175"/>
      <c r="DP200" s="1175"/>
      <c r="DQ200" s="1175"/>
      <c r="DR200" s="1175"/>
      <c r="DS200" s="1175"/>
    </row>
    <row r="201" spans="5:123" s="1187" customFormat="1" ht="18" customHeight="1" x14ac:dyDescent="0.3"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1175"/>
      <c r="AC201" s="1175"/>
      <c r="AD201" s="1175"/>
      <c r="AE201" s="1175"/>
      <c r="AF201" s="1175"/>
      <c r="AG201" s="1175"/>
      <c r="AH201" s="1175"/>
      <c r="AI201" s="1175"/>
      <c r="AJ201" s="1175"/>
      <c r="AK201" s="1175"/>
      <c r="AL201" s="1175"/>
      <c r="AM201" s="1175"/>
      <c r="AN201" s="1175"/>
      <c r="AO201" s="1175"/>
      <c r="AP201" s="1175"/>
      <c r="AQ201" s="1175"/>
      <c r="AR201" s="1175"/>
      <c r="AS201" s="1175"/>
      <c r="AT201" s="1175"/>
      <c r="AU201" s="1175"/>
      <c r="AV201" s="1175"/>
      <c r="AW201" s="1175"/>
      <c r="AX201" s="1175"/>
      <c r="AY201" s="1175"/>
      <c r="AZ201" s="1175"/>
      <c r="BA201" s="1175"/>
      <c r="BB201" s="1175"/>
      <c r="BC201" s="1175"/>
      <c r="BD201" s="1175"/>
      <c r="BE201" s="1175"/>
      <c r="BF201" s="1175"/>
      <c r="BG201" s="1175"/>
      <c r="BH201" s="1175"/>
      <c r="BI201" s="1175"/>
      <c r="BJ201" s="1175"/>
      <c r="BK201" s="1175"/>
      <c r="BL201" s="1175"/>
      <c r="BM201" s="1175"/>
      <c r="BN201" s="1175"/>
      <c r="BO201" s="1175"/>
      <c r="BP201" s="1175"/>
      <c r="BQ201" s="1175"/>
      <c r="BR201" s="1175"/>
      <c r="BS201" s="1175"/>
      <c r="BT201" s="1175"/>
      <c r="BU201" s="1175"/>
      <c r="BV201" s="1175"/>
      <c r="BW201" s="1175"/>
      <c r="BX201" s="1175"/>
      <c r="BY201" s="1175"/>
      <c r="BZ201" s="1175"/>
      <c r="CA201" s="1175"/>
      <c r="CB201" s="1175"/>
      <c r="CC201" s="1175"/>
      <c r="CD201" s="1175"/>
      <c r="CE201" s="1175"/>
      <c r="CF201" s="1175"/>
      <c r="CG201" s="1175"/>
      <c r="CH201" s="1175"/>
      <c r="CI201" s="1175"/>
      <c r="CJ201" s="1175"/>
      <c r="CK201" s="1175"/>
      <c r="CL201" s="1175"/>
      <c r="CM201" s="1175"/>
      <c r="CN201" s="1175"/>
      <c r="CO201" s="1175"/>
      <c r="CP201" s="1175"/>
      <c r="CQ201" s="1175"/>
      <c r="CR201" s="1175"/>
      <c r="CS201" s="1175"/>
      <c r="CT201" s="1175"/>
      <c r="CU201" s="1175"/>
      <c r="CV201" s="1175"/>
      <c r="CW201" s="1175"/>
      <c r="CX201" s="1175"/>
      <c r="CY201" s="1175"/>
      <c r="CZ201" s="1175"/>
      <c r="DA201" s="1175"/>
      <c r="DB201" s="1175"/>
      <c r="DC201" s="1175"/>
      <c r="DD201" s="1175"/>
      <c r="DE201" s="1175"/>
      <c r="DF201" s="1175"/>
      <c r="DG201" s="1175"/>
      <c r="DH201" s="1175"/>
      <c r="DI201" s="1175"/>
      <c r="DJ201" s="1175"/>
      <c r="DK201" s="1175"/>
      <c r="DL201" s="1175"/>
      <c r="DM201" s="1175"/>
      <c r="DN201" s="1175"/>
      <c r="DO201" s="1175"/>
      <c r="DP201" s="1175"/>
      <c r="DQ201" s="1175"/>
      <c r="DR201" s="1175"/>
      <c r="DS201" s="1175"/>
    </row>
    <row r="202" spans="5:123" s="1187" customFormat="1" ht="18" customHeight="1" x14ac:dyDescent="0.3"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1175"/>
      <c r="AC202" s="1175"/>
      <c r="AD202" s="1175"/>
      <c r="AE202" s="1175"/>
      <c r="AF202" s="1175"/>
      <c r="AG202" s="1175"/>
      <c r="AH202" s="1175"/>
      <c r="AI202" s="1175"/>
      <c r="AJ202" s="1175"/>
      <c r="AK202" s="1175"/>
      <c r="AL202" s="1175"/>
      <c r="AM202" s="1175"/>
      <c r="AN202" s="1175"/>
      <c r="AO202" s="1175"/>
      <c r="AP202" s="1175"/>
      <c r="AQ202" s="1175"/>
      <c r="AR202" s="1175"/>
      <c r="AS202" s="1175"/>
      <c r="AT202" s="1175"/>
      <c r="AU202" s="1175"/>
      <c r="AV202" s="1175"/>
      <c r="AW202" s="1175"/>
      <c r="AX202" s="1175"/>
      <c r="AY202" s="1175"/>
      <c r="AZ202" s="1175"/>
      <c r="BA202" s="1175"/>
      <c r="BB202" s="1175"/>
      <c r="BC202" s="1175"/>
      <c r="BD202" s="1175"/>
      <c r="BE202" s="1175"/>
      <c r="BF202" s="1175"/>
      <c r="BG202" s="1175"/>
      <c r="BH202" s="1175"/>
      <c r="BI202" s="1175"/>
      <c r="BJ202" s="1175"/>
      <c r="BK202" s="1175"/>
      <c r="BL202" s="1175"/>
      <c r="BM202" s="1175"/>
      <c r="BN202" s="1175"/>
      <c r="BO202" s="1175"/>
      <c r="BP202" s="1175"/>
      <c r="BQ202" s="1175"/>
      <c r="BR202" s="1175"/>
      <c r="BS202" s="1175"/>
      <c r="BT202" s="1175"/>
      <c r="BU202" s="1175"/>
      <c r="BV202" s="1175"/>
      <c r="BW202" s="1175"/>
      <c r="BX202" s="1175"/>
      <c r="BY202" s="1175"/>
      <c r="BZ202" s="1175"/>
      <c r="CA202" s="1175"/>
      <c r="CB202" s="1175"/>
      <c r="CC202" s="1175"/>
      <c r="CD202" s="1175"/>
      <c r="CE202" s="1175"/>
      <c r="CF202" s="1175"/>
      <c r="CG202" s="1175"/>
      <c r="CH202" s="1175"/>
      <c r="CI202" s="1175"/>
      <c r="CJ202" s="1175"/>
      <c r="CK202" s="1175"/>
      <c r="CL202" s="1175"/>
      <c r="CM202" s="1175"/>
      <c r="CN202" s="1175"/>
      <c r="CO202" s="1175"/>
      <c r="CP202" s="1175"/>
      <c r="CQ202" s="1175"/>
      <c r="CR202" s="1175"/>
      <c r="CS202" s="1175"/>
      <c r="CT202" s="1175"/>
      <c r="CU202" s="1175"/>
      <c r="CV202" s="1175"/>
      <c r="CW202" s="1175"/>
      <c r="CX202" s="1175"/>
      <c r="CY202" s="1175"/>
      <c r="CZ202" s="1175"/>
      <c r="DA202" s="1175"/>
      <c r="DB202" s="1175"/>
      <c r="DC202" s="1175"/>
      <c r="DD202" s="1175"/>
      <c r="DE202" s="1175"/>
      <c r="DF202" s="1175"/>
      <c r="DG202" s="1175"/>
      <c r="DH202" s="1175"/>
      <c r="DI202" s="1175"/>
      <c r="DJ202" s="1175"/>
      <c r="DK202" s="1175"/>
      <c r="DL202" s="1175"/>
      <c r="DM202" s="1175"/>
      <c r="DN202" s="1175"/>
      <c r="DO202" s="1175"/>
      <c r="DP202" s="1175"/>
      <c r="DQ202" s="1175"/>
      <c r="DR202" s="1175"/>
      <c r="DS202" s="1175"/>
    </row>
    <row r="203" spans="5:123" s="1187" customFormat="1" ht="18" customHeight="1" x14ac:dyDescent="0.3"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1175"/>
      <c r="AC203" s="1175"/>
      <c r="AD203" s="1175"/>
      <c r="AE203" s="1175"/>
      <c r="AF203" s="1175"/>
      <c r="AG203" s="1175"/>
      <c r="AH203" s="1175"/>
      <c r="AI203" s="1175"/>
      <c r="AJ203" s="1175"/>
      <c r="AK203" s="1175"/>
      <c r="AL203" s="1175"/>
      <c r="AM203" s="1175"/>
      <c r="AN203" s="1175"/>
      <c r="AO203" s="1175"/>
      <c r="AP203" s="1175"/>
      <c r="AQ203" s="1175"/>
      <c r="AR203" s="1175"/>
      <c r="AS203" s="1175"/>
      <c r="AT203" s="1175"/>
      <c r="AU203" s="1175"/>
      <c r="AV203" s="1175"/>
      <c r="AW203" s="1175"/>
      <c r="AX203" s="1175"/>
      <c r="AY203" s="1175"/>
      <c r="AZ203" s="1175"/>
      <c r="BA203" s="1175"/>
      <c r="BB203" s="1175"/>
      <c r="BC203" s="1175"/>
      <c r="BD203" s="1175"/>
      <c r="BE203" s="1175"/>
      <c r="BF203" s="1175"/>
      <c r="BG203" s="1175"/>
      <c r="BH203" s="1175"/>
      <c r="BI203" s="1175"/>
      <c r="BJ203" s="1175"/>
      <c r="BK203" s="1175"/>
      <c r="BL203" s="1175"/>
      <c r="BM203" s="1175"/>
      <c r="BN203" s="1175"/>
      <c r="BO203" s="1175"/>
      <c r="BP203" s="1175"/>
      <c r="BQ203" s="1175"/>
      <c r="BR203" s="1175"/>
      <c r="BS203" s="1175"/>
      <c r="BT203" s="1175"/>
      <c r="BU203" s="1175"/>
      <c r="BV203" s="1175"/>
      <c r="BW203" s="1175"/>
      <c r="BX203" s="1175"/>
      <c r="BY203" s="1175"/>
      <c r="BZ203" s="1175"/>
      <c r="CA203" s="1175"/>
      <c r="CB203" s="1175"/>
      <c r="CC203" s="1175"/>
      <c r="CD203" s="1175"/>
      <c r="CE203" s="1175"/>
      <c r="CF203" s="1175"/>
      <c r="CG203" s="1175"/>
      <c r="CH203" s="1175"/>
      <c r="CI203" s="1175"/>
      <c r="CJ203" s="1175"/>
      <c r="CK203" s="1175"/>
      <c r="CL203" s="1175"/>
      <c r="CM203" s="1175"/>
      <c r="CN203" s="1175"/>
      <c r="CO203" s="1175"/>
      <c r="CP203" s="1175"/>
      <c r="CQ203" s="1175"/>
      <c r="CR203" s="1175"/>
      <c r="CS203" s="1175"/>
      <c r="CT203" s="1175"/>
      <c r="CU203" s="1175"/>
      <c r="CV203" s="1175"/>
      <c r="CW203" s="1175"/>
      <c r="CX203" s="1175"/>
      <c r="CY203" s="1175"/>
      <c r="CZ203" s="1175"/>
      <c r="DA203" s="1175"/>
      <c r="DB203" s="1175"/>
      <c r="DC203" s="1175"/>
      <c r="DD203" s="1175"/>
      <c r="DE203" s="1175"/>
      <c r="DF203" s="1175"/>
      <c r="DG203" s="1175"/>
      <c r="DH203" s="1175"/>
      <c r="DI203" s="1175"/>
      <c r="DJ203" s="1175"/>
      <c r="DK203" s="1175"/>
      <c r="DL203" s="1175"/>
      <c r="DM203" s="1175"/>
      <c r="DN203" s="1175"/>
      <c r="DO203" s="1175"/>
      <c r="DP203" s="1175"/>
      <c r="DQ203" s="1175"/>
      <c r="DR203" s="1175"/>
      <c r="DS203" s="1175"/>
    </row>
    <row r="204" spans="5:123" s="1187" customFormat="1" ht="18" customHeight="1" x14ac:dyDescent="0.3"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1175"/>
      <c r="AC204" s="1175"/>
      <c r="AD204" s="1175"/>
      <c r="AE204" s="1175"/>
      <c r="AF204" s="1175"/>
      <c r="AG204" s="1175"/>
      <c r="AH204" s="1175"/>
      <c r="AI204" s="1175"/>
      <c r="AJ204" s="1175"/>
      <c r="AK204" s="1175"/>
      <c r="AL204" s="1175"/>
      <c r="AM204" s="1175"/>
      <c r="AN204" s="1175"/>
      <c r="AO204" s="1175"/>
      <c r="AP204" s="1175"/>
      <c r="AQ204" s="1175"/>
      <c r="AR204" s="1175"/>
      <c r="AS204" s="1175"/>
      <c r="AT204" s="1175"/>
      <c r="AU204" s="1175"/>
      <c r="AV204" s="1175"/>
      <c r="AW204" s="1175"/>
      <c r="AX204" s="1175"/>
      <c r="AY204" s="1175"/>
      <c r="AZ204" s="1175"/>
      <c r="BA204" s="1175"/>
      <c r="BB204" s="1175"/>
      <c r="BC204" s="1175"/>
      <c r="BD204" s="1175"/>
      <c r="BE204" s="1175"/>
      <c r="BF204" s="1175"/>
      <c r="BG204" s="1175"/>
      <c r="BH204" s="1175"/>
      <c r="BI204" s="1175"/>
      <c r="BJ204" s="1175"/>
      <c r="BK204" s="1175"/>
      <c r="BL204" s="1175"/>
      <c r="BM204" s="1175"/>
      <c r="BN204" s="1175"/>
      <c r="BO204" s="1175"/>
      <c r="BP204" s="1175"/>
      <c r="BQ204" s="1175"/>
      <c r="BR204" s="1175"/>
      <c r="BS204" s="1175"/>
      <c r="BT204" s="1175"/>
      <c r="BU204" s="1175"/>
      <c r="BV204" s="1175"/>
      <c r="BW204" s="1175"/>
      <c r="BX204" s="1175"/>
      <c r="BY204" s="1175"/>
      <c r="BZ204" s="1175"/>
      <c r="CA204" s="1175"/>
      <c r="CB204" s="1175"/>
      <c r="CC204" s="1175"/>
      <c r="CD204" s="1175"/>
      <c r="CE204" s="1175"/>
      <c r="CF204" s="1175"/>
      <c r="CG204" s="1175"/>
      <c r="CH204" s="1175"/>
      <c r="CI204" s="1175"/>
      <c r="CJ204" s="1175"/>
      <c r="CK204" s="1175"/>
      <c r="CL204" s="1175"/>
      <c r="CM204" s="1175"/>
      <c r="CN204" s="1175"/>
      <c r="CO204" s="1175"/>
      <c r="CP204" s="1175"/>
      <c r="CQ204" s="1175"/>
      <c r="CR204" s="1175"/>
      <c r="CS204" s="1175"/>
      <c r="CT204" s="1175"/>
      <c r="CU204" s="1175"/>
      <c r="CV204" s="1175"/>
      <c r="CW204" s="1175"/>
      <c r="CX204" s="1175"/>
      <c r="CY204" s="1175"/>
      <c r="CZ204" s="1175"/>
      <c r="DA204" s="1175"/>
      <c r="DB204" s="1175"/>
      <c r="DC204" s="1175"/>
      <c r="DD204" s="1175"/>
      <c r="DE204" s="1175"/>
      <c r="DF204" s="1175"/>
      <c r="DG204" s="1175"/>
      <c r="DH204" s="1175"/>
      <c r="DI204" s="1175"/>
      <c r="DJ204" s="1175"/>
      <c r="DK204" s="1175"/>
      <c r="DL204" s="1175"/>
      <c r="DM204" s="1175"/>
      <c r="DN204" s="1175"/>
      <c r="DO204" s="1175"/>
      <c r="DP204" s="1175"/>
      <c r="DQ204" s="1175"/>
      <c r="DR204" s="1175"/>
      <c r="DS204" s="1175"/>
    </row>
    <row r="205" spans="5:123" s="1187" customFormat="1" ht="18" customHeight="1" x14ac:dyDescent="0.3"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1175"/>
      <c r="AC205" s="1175"/>
      <c r="AD205" s="1175"/>
      <c r="AE205" s="1175"/>
      <c r="AF205" s="1175"/>
      <c r="AG205" s="1175"/>
      <c r="AH205" s="1175"/>
      <c r="AI205" s="1175"/>
      <c r="AJ205" s="1175"/>
      <c r="AK205" s="1175"/>
      <c r="AL205" s="1175"/>
      <c r="AM205" s="1175"/>
      <c r="AN205" s="1175"/>
      <c r="AO205" s="1175"/>
      <c r="AP205" s="1175"/>
      <c r="AQ205" s="1175"/>
      <c r="AR205" s="1175"/>
      <c r="AS205" s="1175"/>
      <c r="AT205" s="1175"/>
      <c r="AU205" s="1175"/>
      <c r="AV205" s="1175"/>
      <c r="AW205" s="1175"/>
      <c r="AX205" s="1175"/>
      <c r="AY205" s="1175"/>
      <c r="AZ205" s="1175"/>
      <c r="BA205" s="1175"/>
      <c r="BB205" s="1175"/>
      <c r="BC205" s="1175"/>
      <c r="BD205" s="1175"/>
      <c r="BE205" s="1175"/>
      <c r="BF205" s="1175"/>
      <c r="BG205" s="1175"/>
      <c r="BH205" s="1175"/>
      <c r="BI205" s="1175"/>
      <c r="BJ205" s="1175"/>
      <c r="BK205" s="1175"/>
      <c r="BL205" s="1175"/>
      <c r="BM205" s="1175"/>
      <c r="BN205" s="1175"/>
      <c r="BO205" s="1175"/>
      <c r="BP205" s="1175"/>
      <c r="BQ205" s="1175"/>
      <c r="BR205" s="1175"/>
      <c r="BS205" s="1175"/>
      <c r="BT205" s="1175"/>
      <c r="BU205" s="1175"/>
      <c r="BV205" s="1175"/>
      <c r="BW205" s="1175"/>
      <c r="BX205" s="1175"/>
      <c r="BY205" s="1175"/>
      <c r="BZ205" s="1175"/>
      <c r="CA205" s="1175"/>
      <c r="CB205" s="1175"/>
      <c r="CC205" s="1175"/>
      <c r="CD205" s="1175"/>
      <c r="CE205" s="1175"/>
      <c r="CF205" s="1175"/>
      <c r="CG205" s="1175"/>
      <c r="CH205" s="1175"/>
      <c r="CI205" s="1175"/>
      <c r="CJ205" s="1175"/>
      <c r="CK205" s="1175"/>
      <c r="CL205" s="1175"/>
      <c r="CM205" s="1175"/>
      <c r="CN205" s="1175"/>
      <c r="CO205" s="1175"/>
      <c r="CP205" s="1175"/>
      <c r="CQ205" s="1175"/>
      <c r="CR205" s="1175"/>
      <c r="CS205" s="1175"/>
      <c r="CT205" s="1175"/>
      <c r="CU205" s="1175"/>
      <c r="CV205" s="1175"/>
      <c r="CW205" s="1175"/>
      <c r="CX205" s="1175"/>
      <c r="CY205" s="1175"/>
      <c r="CZ205" s="1175"/>
      <c r="DA205" s="1175"/>
      <c r="DB205" s="1175"/>
      <c r="DC205" s="1175"/>
      <c r="DD205" s="1175"/>
      <c r="DE205" s="1175"/>
      <c r="DF205" s="1175"/>
      <c r="DG205" s="1175"/>
      <c r="DH205" s="1175"/>
      <c r="DI205" s="1175"/>
      <c r="DJ205" s="1175"/>
      <c r="DK205" s="1175"/>
      <c r="DL205" s="1175"/>
      <c r="DM205" s="1175"/>
      <c r="DN205" s="1175"/>
      <c r="DO205" s="1175"/>
      <c r="DP205" s="1175"/>
      <c r="DQ205" s="1175"/>
      <c r="DR205" s="1175"/>
      <c r="DS205" s="1175"/>
    </row>
    <row r="206" spans="5:123" s="1187" customFormat="1" ht="18" customHeight="1" x14ac:dyDescent="0.3"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1175"/>
      <c r="AC206" s="1175"/>
      <c r="AD206" s="1175"/>
      <c r="AE206" s="1175"/>
      <c r="AF206" s="1175"/>
      <c r="AG206" s="1175"/>
      <c r="AH206" s="1175"/>
      <c r="AI206" s="1175"/>
      <c r="AJ206" s="1175"/>
      <c r="AK206" s="1175"/>
      <c r="AL206" s="1175"/>
      <c r="AM206" s="1175"/>
      <c r="AN206" s="1175"/>
      <c r="AO206" s="1175"/>
      <c r="AP206" s="1175"/>
      <c r="AQ206" s="1175"/>
      <c r="AR206" s="1175"/>
      <c r="AS206" s="1175"/>
      <c r="AT206" s="1175"/>
      <c r="AU206" s="1175"/>
      <c r="AV206" s="1175"/>
      <c r="AW206" s="1175"/>
      <c r="AX206" s="1175"/>
      <c r="AY206" s="1175"/>
      <c r="AZ206" s="1175"/>
      <c r="BA206" s="1175"/>
      <c r="BB206" s="1175"/>
      <c r="BC206" s="1175"/>
      <c r="BD206" s="1175"/>
      <c r="BE206" s="1175"/>
      <c r="BF206" s="1175"/>
      <c r="BG206" s="1175"/>
      <c r="BH206" s="1175"/>
      <c r="BI206" s="1175"/>
      <c r="BJ206" s="1175"/>
      <c r="BK206" s="1175"/>
      <c r="BL206" s="1175"/>
      <c r="BM206" s="1175"/>
      <c r="BN206" s="1175"/>
      <c r="BO206" s="1175"/>
      <c r="BP206" s="1175"/>
      <c r="BQ206" s="1175"/>
      <c r="BR206" s="1175"/>
      <c r="BS206" s="1175"/>
      <c r="BT206" s="1175"/>
      <c r="BU206" s="1175"/>
      <c r="BV206" s="1175"/>
      <c r="BW206" s="1175"/>
      <c r="BX206" s="1175"/>
      <c r="BY206" s="1175"/>
      <c r="BZ206" s="1175"/>
      <c r="CA206" s="1175"/>
      <c r="CB206" s="1175"/>
      <c r="CC206" s="1175"/>
      <c r="CD206" s="1175"/>
      <c r="CE206" s="1175"/>
      <c r="CF206" s="1175"/>
      <c r="CG206" s="1175"/>
      <c r="CH206" s="1175"/>
      <c r="CI206" s="1175"/>
      <c r="CJ206" s="1175"/>
      <c r="CK206" s="1175"/>
      <c r="CL206" s="1175"/>
      <c r="CM206" s="1175"/>
      <c r="CN206" s="1175"/>
      <c r="CO206" s="1175"/>
      <c r="CP206" s="1175"/>
      <c r="CQ206" s="1175"/>
      <c r="CR206" s="1175"/>
      <c r="CS206" s="1175"/>
      <c r="CT206" s="1175"/>
      <c r="CU206" s="1175"/>
      <c r="CV206" s="1175"/>
      <c r="CW206" s="1175"/>
      <c r="CX206" s="1175"/>
      <c r="CY206" s="1175"/>
      <c r="CZ206" s="1175"/>
      <c r="DA206" s="1175"/>
      <c r="DB206" s="1175"/>
      <c r="DC206" s="1175"/>
      <c r="DD206" s="1175"/>
      <c r="DE206" s="1175"/>
      <c r="DF206" s="1175"/>
      <c r="DG206" s="1175"/>
      <c r="DH206" s="1175"/>
      <c r="DI206" s="1175"/>
      <c r="DJ206" s="1175"/>
      <c r="DK206" s="1175"/>
      <c r="DL206" s="1175"/>
      <c r="DM206" s="1175"/>
      <c r="DN206" s="1175"/>
      <c r="DO206" s="1175"/>
      <c r="DP206" s="1175"/>
      <c r="DQ206" s="1175"/>
      <c r="DR206" s="1175"/>
      <c r="DS206" s="1175"/>
    </row>
    <row r="207" spans="5:123" s="1187" customFormat="1" ht="18" customHeight="1" x14ac:dyDescent="0.3">
      <c r="E207" s="1175"/>
      <c r="F207" s="1175"/>
      <c r="G207" s="1175"/>
      <c r="H207" s="1175"/>
      <c r="I207" s="1175"/>
      <c r="J207" s="1175"/>
      <c r="K207" s="1175"/>
      <c r="L207" s="1175"/>
      <c r="M207" s="1175"/>
      <c r="N207" s="1175"/>
      <c r="O207" s="1175"/>
      <c r="P207" s="1175"/>
      <c r="Q207" s="1175"/>
      <c r="R207" s="1175"/>
      <c r="S207" s="1175"/>
      <c r="T207" s="1175"/>
      <c r="U207" s="1175"/>
      <c r="V207" s="1175"/>
      <c r="W207" s="1175"/>
      <c r="X207" s="1175"/>
      <c r="Y207" s="1175"/>
      <c r="Z207" s="1175"/>
      <c r="AA207" s="1175"/>
      <c r="AB207" s="1175"/>
      <c r="AC207" s="1175"/>
      <c r="AD207" s="1175"/>
      <c r="AE207" s="1175"/>
      <c r="AF207" s="1175"/>
      <c r="AG207" s="1175"/>
      <c r="AH207" s="1175"/>
      <c r="AI207" s="1175"/>
      <c r="AJ207" s="1175"/>
      <c r="AK207" s="1175"/>
      <c r="AL207" s="1175"/>
      <c r="AM207" s="1175"/>
      <c r="AN207" s="1175"/>
      <c r="AO207" s="1175"/>
      <c r="AP207" s="1175"/>
      <c r="AQ207" s="1175"/>
      <c r="AR207" s="1175"/>
      <c r="AS207" s="1175"/>
      <c r="AT207" s="1175"/>
      <c r="AU207" s="1175"/>
      <c r="AV207" s="1175"/>
      <c r="AW207" s="1175"/>
      <c r="AX207" s="1175"/>
      <c r="AY207" s="1175"/>
      <c r="AZ207" s="1175"/>
      <c r="BA207" s="1175"/>
      <c r="BB207" s="1175"/>
      <c r="BC207" s="1175"/>
      <c r="BD207" s="1175"/>
      <c r="BE207" s="1175"/>
      <c r="BF207" s="1175"/>
      <c r="BG207" s="1175"/>
      <c r="BH207" s="1175"/>
      <c r="BI207" s="1175"/>
      <c r="BJ207" s="1175"/>
      <c r="BK207" s="1175"/>
      <c r="BL207" s="1175"/>
      <c r="BM207" s="1175"/>
      <c r="BN207" s="1175"/>
      <c r="BO207" s="1175"/>
      <c r="BP207" s="1175"/>
      <c r="BQ207" s="1175"/>
      <c r="BR207" s="1175"/>
      <c r="BS207" s="1175"/>
      <c r="BT207" s="1175"/>
      <c r="BU207" s="1175"/>
      <c r="BV207" s="1175"/>
      <c r="BW207" s="1175"/>
      <c r="BX207" s="1175"/>
      <c r="BY207" s="1175"/>
      <c r="BZ207" s="1175"/>
      <c r="CA207" s="1175"/>
      <c r="CB207" s="1175"/>
      <c r="CC207" s="1175"/>
      <c r="CD207" s="1175"/>
      <c r="CE207" s="1175"/>
      <c r="CF207" s="1175"/>
      <c r="CG207" s="1175"/>
      <c r="CH207" s="1175"/>
      <c r="CI207" s="1175"/>
      <c r="CJ207" s="1175"/>
      <c r="CK207" s="1175"/>
      <c r="CL207" s="1175"/>
      <c r="CM207" s="1175"/>
      <c r="CN207" s="1175"/>
      <c r="CO207" s="1175"/>
      <c r="CP207" s="1175"/>
      <c r="CQ207" s="1175"/>
      <c r="CR207" s="1175"/>
      <c r="CS207" s="1175"/>
      <c r="CT207" s="1175"/>
      <c r="CU207" s="1175"/>
      <c r="CV207" s="1175"/>
      <c r="CW207" s="1175"/>
      <c r="CX207" s="1175"/>
      <c r="CY207" s="1175"/>
      <c r="CZ207" s="1175"/>
      <c r="DA207" s="1175"/>
      <c r="DB207" s="1175"/>
      <c r="DC207" s="1175"/>
      <c r="DD207" s="1175"/>
      <c r="DE207" s="1175"/>
      <c r="DF207" s="1175"/>
      <c r="DG207" s="1175"/>
      <c r="DH207" s="1175"/>
      <c r="DI207" s="1175"/>
      <c r="DJ207" s="1175"/>
      <c r="DK207" s="1175"/>
      <c r="DL207" s="1175"/>
      <c r="DM207" s="1175"/>
      <c r="DN207" s="1175"/>
      <c r="DO207" s="1175"/>
      <c r="DP207" s="1175"/>
      <c r="DQ207" s="1175"/>
      <c r="DR207" s="1175"/>
      <c r="DS207" s="1175"/>
    </row>
    <row r="208" spans="5:123" s="1187" customFormat="1" ht="18" customHeight="1" x14ac:dyDescent="0.3">
      <c r="E208" s="1175"/>
      <c r="F208" s="1175"/>
      <c r="G208" s="1175"/>
      <c r="H208" s="1175"/>
      <c r="I208" s="1175"/>
      <c r="J208" s="1175"/>
      <c r="K208" s="1175"/>
      <c r="L208" s="1175"/>
      <c r="M208" s="1175"/>
      <c r="N208" s="1175"/>
      <c r="O208" s="1175"/>
      <c r="P208" s="1175"/>
      <c r="Q208" s="1175"/>
      <c r="R208" s="1175"/>
      <c r="S208" s="1175"/>
      <c r="T208" s="1175"/>
      <c r="U208" s="1175"/>
      <c r="V208" s="1175"/>
      <c r="W208" s="1175"/>
      <c r="X208" s="1175"/>
      <c r="Y208" s="1175"/>
      <c r="Z208" s="1175"/>
      <c r="AA208" s="1175"/>
      <c r="AB208" s="1175"/>
      <c r="AC208" s="1175"/>
      <c r="AD208" s="1175"/>
      <c r="AE208" s="1175"/>
      <c r="AF208" s="1175"/>
      <c r="AG208" s="1175"/>
      <c r="AH208" s="1175"/>
      <c r="AI208" s="1175"/>
      <c r="AJ208" s="1175"/>
      <c r="AK208" s="1175"/>
      <c r="AL208" s="1175"/>
      <c r="AM208" s="1175"/>
      <c r="AN208" s="1175"/>
      <c r="AO208" s="1175"/>
      <c r="AP208" s="1175"/>
      <c r="AQ208" s="1175"/>
      <c r="AR208" s="1175"/>
      <c r="AS208" s="1175"/>
      <c r="AT208" s="1175"/>
      <c r="AU208" s="1175"/>
      <c r="AV208" s="1175"/>
      <c r="AW208" s="1175"/>
      <c r="AX208" s="1175"/>
      <c r="AY208" s="1175"/>
      <c r="AZ208" s="1175"/>
      <c r="BA208" s="1175"/>
      <c r="BB208" s="1175"/>
      <c r="BC208" s="1175"/>
      <c r="BD208" s="1175"/>
      <c r="BE208" s="1175"/>
      <c r="BF208" s="1175"/>
      <c r="BG208" s="1175"/>
      <c r="BH208" s="1175"/>
      <c r="BI208" s="1175"/>
      <c r="BJ208" s="1175"/>
      <c r="BK208" s="1175"/>
      <c r="BL208" s="1175"/>
      <c r="BM208" s="1175"/>
      <c r="BN208" s="1175"/>
      <c r="BO208" s="1175"/>
      <c r="BP208" s="1175"/>
      <c r="BQ208" s="1175"/>
      <c r="BR208" s="1175"/>
      <c r="BS208" s="1175"/>
      <c r="BT208" s="1175"/>
      <c r="BU208" s="1175"/>
      <c r="BV208" s="1175"/>
      <c r="BW208" s="1175"/>
      <c r="BX208" s="1175"/>
      <c r="BY208" s="1175"/>
      <c r="BZ208" s="1175"/>
      <c r="CA208" s="1175"/>
      <c r="CB208" s="1175"/>
      <c r="CC208" s="1175"/>
      <c r="CD208" s="1175"/>
      <c r="CE208" s="1175"/>
      <c r="CF208" s="1175"/>
      <c r="CG208" s="1175"/>
      <c r="CH208" s="1175"/>
      <c r="CI208" s="1175"/>
      <c r="CJ208" s="1175"/>
      <c r="CK208" s="1175"/>
      <c r="CL208" s="1175"/>
      <c r="CM208" s="1175"/>
      <c r="CN208" s="1175"/>
      <c r="CO208" s="1175"/>
      <c r="CP208" s="1175"/>
      <c r="CQ208" s="1175"/>
      <c r="CR208" s="1175"/>
      <c r="CS208" s="1175"/>
      <c r="CT208" s="1175"/>
      <c r="CU208" s="1175"/>
      <c r="CV208" s="1175"/>
      <c r="CW208" s="1175"/>
      <c r="CX208" s="1175"/>
      <c r="CY208" s="1175"/>
      <c r="CZ208" s="1175"/>
      <c r="DA208" s="1175"/>
      <c r="DB208" s="1175"/>
      <c r="DC208" s="1175"/>
      <c r="DD208" s="1175"/>
      <c r="DE208" s="1175"/>
      <c r="DF208" s="1175"/>
      <c r="DG208" s="1175"/>
      <c r="DH208" s="1175"/>
      <c r="DI208" s="1175"/>
      <c r="DJ208" s="1175"/>
      <c r="DK208" s="1175"/>
      <c r="DL208" s="1175"/>
      <c r="DM208" s="1175"/>
      <c r="DN208" s="1175"/>
      <c r="DO208" s="1175"/>
      <c r="DP208" s="1175"/>
      <c r="DQ208" s="1175"/>
      <c r="DR208" s="1175"/>
      <c r="DS208" s="1175"/>
    </row>
    <row r="209" spans="5:123" s="1187" customFormat="1" ht="18" customHeight="1" x14ac:dyDescent="0.3">
      <c r="E209" s="1175"/>
      <c r="F209" s="1175"/>
      <c r="G209" s="1175"/>
      <c r="H209" s="1175"/>
      <c r="I209" s="1175"/>
      <c r="J209" s="1175"/>
      <c r="K209" s="1175"/>
      <c r="L209" s="1175"/>
      <c r="M209" s="1175"/>
      <c r="N209" s="1175"/>
      <c r="O209" s="1175"/>
      <c r="P209" s="1175"/>
      <c r="Q209" s="1175"/>
      <c r="R209" s="1175"/>
      <c r="S209" s="1175"/>
      <c r="T209" s="1175"/>
      <c r="U209" s="1175"/>
      <c r="V209" s="1175"/>
      <c r="W209" s="1175"/>
      <c r="X209" s="1175"/>
      <c r="Y209" s="1175"/>
      <c r="Z209" s="1175"/>
      <c r="AA209" s="1175"/>
      <c r="AB209" s="1175"/>
      <c r="AC209" s="1175"/>
      <c r="AD209" s="1175"/>
      <c r="AE209" s="1175"/>
      <c r="AF209" s="1175"/>
      <c r="AG209" s="1175"/>
      <c r="AH209" s="1175"/>
      <c r="AI209" s="1175"/>
      <c r="AJ209" s="1175"/>
      <c r="AK209" s="1175"/>
      <c r="AL209" s="1175"/>
      <c r="AM209" s="1175"/>
      <c r="AN209" s="1175"/>
      <c r="AO209" s="1175"/>
      <c r="AP209" s="1175"/>
      <c r="AQ209" s="1175"/>
      <c r="AR209" s="1175"/>
      <c r="AS209" s="1175"/>
      <c r="AT209" s="1175"/>
      <c r="AU209" s="1175"/>
      <c r="AV209" s="1175"/>
      <c r="AW209" s="1175"/>
      <c r="AX209" s="1175"/>
      <c r="AY209" s="1175"/>
      <c r="AZ209" s="1175"/>
      <c r="BA209" s="1175"/>
      <c r="BB209" s="1175"/>
      <c r="BC209" s="1175"/>
      <c r="BD209" s="1175"/>
      <c r="BE209" s="1175"/>
      <c r="BF209" s="1175"/>
      <c r="BG209" s="1175"/>
      <c r="BH209" s="1175"/>
      <c r="BI209" s="1175"/>
      <c r="BJ209" s="1175"/>
      <c r="BK209" s="1175"/>
      <c r="BL209" s="1175"/>
      <c r="BM209" s="1175"/>
      <c r="BN209" s="1175"/>
      <c r="BO209" s="1175"/>
      <c r="BP209" s="1175"/>
      <c r="BQ209" s="1175"/>
      <c r="BR209" s="1175"/>
      <c r="BS209" s="1175"/>
      <c r="BT209" s="1175"/>
      <c r="BU209" s="1175"/>
      <c r="BV209" s="1175"/>
      <c r="BW209" s="1175"/>
      <c r="BX209" s="1175"/>
      <c r="BY209" s="1175"/>
      <c r="BZ209" s="1175"/>
      <c r="CA209" s="1175"/>
      <c r="CB209" s="1175"/>
      <c r="CC209" s="1175"/>
      <c r="CD209" s="1175"/>
      <c r="CE209" s="1175"/>
      <c r="CF209" s="1175"/>
      <c r="CG209" s="1175"/>
      <c r="CH209" s="1175"/>
      <c r="CI209" s="1175"/>
      <c r="CJ209" s="1175"/>
      <c r="CK209" s="1175"/>
      <c r="CL209" s="1175"/>
      <c r="CM209" s="1175"/>
      <c r="CN209" s="1175"/>
      <c r="CO209" s="1175"/>
      <c r="CP209" s="1175"/>
      <c r="CQ209" s="1175"/>
      <c r="CR209" s="1175"/>
      <c r="CS209" s="1175"/>
      <c r="CT209" s="1175"/>
      <c r="CU209" s="1175"/>
      <c r="CV209" s="1175"/>
      <c r="CW209" s="1175"/>
      <c r="CX209" s="1175"/>
      <c r="CY209" s="1175"/>
      <c r="CZ209" s="1175"/>
      <c r="DA209" s="1175"/>
      <c r="DB209" s="1175"/>
      <c r="DC209" s="1175"/>
      <c r="DD209" s="1175"/>
      <c r="DE209" s="1175"/>
      <c r="DF209" s="1175"/>
      <c r="DG209" s="1175"/>
      <c r="DH209" s="1175"/>
      <c r="DI209" s="1175"/>
      <c r="DJ209" s="1175"/>
      <c r="DK209" s="1175"/>
      <c r="DL209" s="1175"/>
      <c r="DM209" s="1175"/>
      <c r="DN209" s="1175"/>
      <c r="DO209" s="1175"/>
      <c r="DP209" s="1175"/>
      <c r="DQ209" s="1175"/>
      <c r="DR209" s="1175"/>
      <c r="DS209" s="1175"/>
    </row>
    <row r="210" spans="5:123" s="1187" customFormat="1" ht="18" customHeight="1" x14ac:dyDescent="0.3">
      <c r="E210" s="1175"/>
      <c r="F210" s="1175"/>
      <c r="G210" s="1175"/>
      <c r="H210" s="1175"/>
      <c r="I210" s="1175"/>
      <c r="J210" s="1175"/>
      <c r="K210" s="1175"/>
      <c r="L210" s="1175"/>
      <c r="M210" s="1175"/>
      <c r="N210" s="1175"/>
      <c r="O210" s="1175"/>
      <c r="P210" s="1175"/>
      <c r="Q210" s="1175"/>
      <c r="R210" s="1175"/>
      <c r="S210" s="1175"/>
      <c r="T210" s="1175"/>
      <c r="U210" s="1175"/>
      <c r="V210" s="1175"/>
      <c r="W210" s="1175"/>
      <c r="X210" s="1175"/>
      <c r="Y210" s="1175"/>
      <c r="Z210" s="1175"/>
      <c r="AA210" s="1175"/>
      <c r="AB210" s="1175"/>
      <c r="AC210" s="1175"/>
      <c r="AD210" s="1175"/>
      <c r="AE210" s="1175"/>
      <c r="AF210" s="1175"/>
      <c r="AG210" s="1175"/>
      <c r="AH210" s="1175"/>
      <c r="AI210" s="1175"/>
      <c r="AJ210" s="1175"/>
      <c r="AK210" s="1175"/>
      <c r="AL210" s="1175"/>
      <c r="AM210" s="1175"/>
      <c r="AN210" s="1175"/>
      <c r="AO210" s="1175"/>
      <c r="AP210" s="1175"/>
      <c r="AQ210" s="1175"/>
      <c r="AR210" s="1175"/>
      <c r="AS210" s="1175"/>
      <c r="AT210" s="1175"/>
      <c r="AU210" s="1175"/>
      <c r="AV210" s="1175"/>
      <c r="AW210" s="1175"/>
      <c r="AX210" s="1175"/>
      <c r="AY210" s="1175"/>
      <c r="AZ210" s="1175"/>
      <c r="BA210" s="1175"/>
      <c r="BB210" s="1175"/>
      <c r="BC210" s="1175"/>
      <c r="BD210" s="1175"/>
      <c r="BE210" s="1175"/>
      <c r="BF210" s="1175"/>
      <c r="BG210" s="1175"/>
      <c r="BH210" s="1175"/>
      <c r="BI210" s="1175"/>
      <c r="BJ210" s="1175"/>
      <c r="BK210" s="1175"/>
      <c r="BL210" s="1175"/>
      <c r="BM210" s="1175"/>
      <c r="BN210" s="1175"/>
      <c r="BO210" s="1175"/>
      <c r="BP210" s="1175"/>
      <c r="BQ210" s="1175"/>
      <c r="BR210" s="1175"/>
      <c r="BS210" s="1175"/>
      <c r="BT210" s="1175"/>
      <c r="BU210" s="1175"/>
      <c r="BV210" s="1175"/>
      <c r="BW210" s="1175"/>
      <c r="BX210" s="1175"/>
      <c r="BY210" s="1175"/>
      <c r="BZ210" s="1175"/>
      <c r="CA210" s="1175"/>
      <c r="CB210" s="1175"/>
      <c r="CC210" s="1175"/>
      <c r="CD210" s="1175"/>
      <c r="CE210" s="1175"/>
      <c r="CF210" s="1175"/>
      <c r="CG210" s="1175"/>
      <c r="CH210" s="1175"/>
      <c r="CI210" s="1175"/>
      <c r="CJ210" s="1175"/>
      <c r="CK210" s="1175"/>
      <c r="CL210" s="1175"/>
      <c r="CM210" s="1175"/>
      <c r="CN210" s="1175"/>
      <c r="CO210" s="1175"/>
      <c r="CP210" s="1175"/>
      <c r="CQ210" s="1175"/>
      <c r="CR210" s="1175"/>
      <c r="CS210" s="1175"/>
      <c r="CT210" s="1175"/>
      <c r="CU210" s="1175"/>
      <c r="CV210" s="1175"/>
      <c r="CW210" s="1175"/>
      <c r="CX210" s="1175"/>
      <c r="CY210" s="1175"/>
      <c r="CZ210" s="1175"/>
      <c r="DA210" s="1175"/>
      <c r="DB210" s="1175"/>
      <c r="DC210" s="1175"/>
      <c r="DD210" s="1175"/>
      <c r="DE210" s="1175"/>
      <c r="DF210" s="1175"/>
      <c r="DG210" s="1175"/>
      <c r="DH210" s="1175"/>
      <c r="DI210" s="1175"/>
      <c r="DJ210" s="1175"/>
      <c r="DK210" s="1175"/>
      <c r="DL210" s="1175"/>
      <c r="DM210" s="1175"/>
      <c r="DN210" s="1175"/>
      <c r="DO210" s="1175"/>
      <c r="DP210" s="1175"/>
      <c r="DQ210" s="1175"/>
      <c r="DR210" s="1175"/>
      <c r="DS210" s="1175"/>
    </row>
    <row r="211" spans="5:123" s="1187" customFormat="1" ht="18" customHeight="1" x14ac:dyDescent="0.3">
      <c r="E211" s="1175"/>
      <c r="F211" s="1175"/>
      <c r="G211" s="1175"/>
      <c r="H211" s="1175"/>
      <c r="I211" s="1175"/>
      <c r="J211" s="1175"/>
      <c r="K211" s="1175"/>
      <c r="L211" s="1175"/>
      <c r="M211" s="1175"/>
      <c r="N211" s="1175"/>
      <c r="O211" s="1175"/>
      <c r="P211" s="1175"/>
      <c r="Q211" s="1175"/>
      <c r="R211" s="1175"/>
      <c r="S211" s="1175"/>
      <c r="T211" s="1175"/>
      <c r="U211" s="1175"/>
      <c r="V211" s="1175"/>
      <c r="W211" s="1175"/>
      <c r="X211" s="1175"/>
      <c r="Y211" s="1175"/>
      <c r="Z211" s="1175"/>
      <c r="AA211" s="1175"/>
      <c r="AB211" s="1175"/>
      <c r="AC211" s="1175"/>
      <c r="AD211" s="1175"/>
      <c r="AE211" s="1175"/>
      <c r="AF211" s="1175"/>
      <c r="AG211" s="1175"/>
      <c r="AH211" s="1175"/>
      <c r="AI211" s="1175"/>
      <c r="AJ211" s="1175"/>
      <c r="AK211" s="1175"/>
      <c r="AL211" s="1175"/>
      <c r="AM211" s="1175"/>
      <c r="AN211" s="1175"/>
      <c r="AO211" s="1175"/>
      <c r="AP211" s="1175"/>
      <c r="AQ211" s="1175"/>
      <c r="AR211" s="1175"/>
      <c r="AS211" s="1175"/>
      <c r="AT211" s="1175"/>
      <c r="AU211" s="1175"/>
      <c r="AV211" s="1175"/>
      <c r="AW211" s="1175"/>
      <c r="AX211" s="1175"/>
      <c r="AY211" s="1175"/>
      <c r="AZ211" s="1175"/>
      <c r="BA211" s="1175"/>
      <c r="BB211" s="1175"/>
      <c r="BC211" s="1175"/>
      <c r="BD211" s="1175"/>
      <c r="BE211" s="1175"/>
      <c r="BF211" s="1175"/>
      <c r="BG211" s="1175"/>
      <c r="BH211" s="1175"/>
      <c r="BI211" s="1175"/>
      <c r="BJ211" s="1175"/>
      <c r="BK211" s="1175"/>
      <c r="BL211" s="1175"/>
      <c r="BM211" s="1175"/>
      <c r="BN211" s="1175"/>
      <c r="BO211" s="1175"/>
      <c r="BP211" s="1175"/>
      <c r="BQ211" s="1175"/>
      <c r="BR211" s="1175"/>
      <c r="BS211" s="1175"/>
      <c r="BT211" s="1175"/>
      <c r="BU211" s="1175"/>
      <c r="BV211" s="1175"/>
      <c r="BW211" s="1175"/>
      <c r="BX211" s="1175"/>
      <c r="BY211" s="1175"/>
      <c r="BZ211" s="1175"/>
      <c r="CA211" s="1175"/>
      <c r="CB211" s="1175"/>
      <c r="CC211" s="1175"/>
      <c r="CD211" s="1175"/>
      <c r="CE211" s="1175"/>
      <c r="CF211" s="1175"/>
      <c r="CG211" s="1175"/>
      <c r="CH211" s="1175"/>
      <c r="CI211" s="1175"/>
      <c r="CJ211" s="1175"/>
      <c r="CK211" s="1175"/>
      <c r="CL211" s="1175"/>
      <c r="CM211" s="1175"/>
      <c r="CN211" s="1175"/>
      <c r="CO211" s="1175"/>
      <c r="CP211" s="1175"/>
      <c r="CQ211" s="1175"/>
      <c r="CR211" s="1175"/>
      <c r="CS211" s="1175"/>
      <c r="CT211" s="1175"/>
      <c r="CU211" s="1175"/>
      <c r="CV211" s="1175"/>
      <c r="CW211" s="1175"/>
      <c r="CX211" s="1175"/>
      <c r="CY211" s="1175"/>
      <c r="CZ211" s="1175"/>
      <c r="DA211" s="1175"/>
      <c r="DB211" s="1175"/>
      <c r="DC211" s="1175"/>
      <c r="DD211" s="1175"/>
      <c r="DE211" s="1175"/>
      <c r="DF211" s="1175"/>
      <c r="DG211" s="1175"/>
      <c r="DH211" s="1175"/>
      <c r="DI211" s="1175"/>
      <c r="DJ211" s="1175"/>
      <c r="DK211" s="1175"/>
      <c r="DL211" s="1175"/>
      <c r="DM211" s="1175"/>
      <c r="DN211" s="1175"/>
      <c r="DO211" s="1175"/>
      <c r="DP211" s="1175"/>
      <c r="DQ211" s="1175"/>
      <c r="DR211" s="1175"/>
      <c r="DS211" s="1175"/>
    </row>
    <row r="212" spans="5:123" s="1187" customFormat="1" ht="18" customHeight="1" x14ac:dyDescent="0.3">
      <c r="E212" s="1175"/>
      <c r="F212" s="1175"/>
      <c r="G212" s="1175"/>
      <c r="H212" s="1175"/>
      <c r="I212" s="1175"/>
      <c r="J212" s="1175"/>
      <c r="K212" s="1175"/>
      <c r="L212" s="1175"/>
      <c r="M212" s="1175"/>
      <c r="N212" s="1175"/>
      <c r="O212" s="1175"/>
      <c r="P212" s="1175"/>
      <c r="Q212" s="1175"/>
      <c r="R212" s="1175"/>
      <c r="S212" s="1175"/>
      <c r="T212" s="1175"/>
      <c r="U212" s="1175"/>
      <c r="V212" s="1175"/>
      <c r="W212" s="1175"/>
      <c r="X212" s="1175"/>
      <c r="Y212" s="1175"/>
      <c r="Z212" s="1175"/>
      <c r="AA212" s="1175"/>
      <c r="AB212" s="1175"/>
      <c r="AC212" s="1175"/>
      <c r="AD212" s="1175"/>
      <c r="AE212" s="1175"/>
      <c r="AF212" s="1175"/>
      <c r="AG212" s="1175"/>
      <c r="AH212" s="1175"/>
      <c r="AI212" s="1175"/>
      <c r="AJ212" s="1175"/>
      <c r="AK212" s="1175"/>
      <c r="AL212" s="1175"/>
      <c r="AM212" s="1175"/>
      <c r="AN212" s="1175"/>
      <c r="AO212" s="1175"/>
      <c r="AP212" s="1175"/>
      <c r="AQ212" s="1175"/>
      <c r="AR212" s="1175"/>
      <c r="AS212" s="1175"/>
      <c r="AT212" s="1175"/>
      <c r="AU212" s="1175"/>
      <c r="AV212" s="1175"/>
      <c r="AW212" s="1175"/>
      <c r="AX212" s="1175"/>
      <c r="AY212" s="1175"/>
      <c r="AZ212" s="1175"/>
      <c r="BA212" s="1175"/>
      <c r="BB212" s="1175"/>
      <c r="BC212" s="1175"/>
      <c r="BD212" s="1175"/>
      <c r="BE212" s="1175"/>
      <c r="BF212" s="1175"/>
      <c r="BG212" s="1175"/>
      <c r="BH212" s="1175"/>
      <c r="BI212" s="1175"/>
      <c r="BJ212" s="1175"/>
      <c r="BK212" s="1175"/>
      <c r="BL212" s="1175"/>
      <c r="BM212" s="1175"/>
      <c r="BN212" s="1175"/>
      <c r="BO212" s="1175"/>
      <c r="BP212" s="1175"/>
      <c r="BQ212" s="1175"/>
      <c r="BR212" s="1175"/>
      <c r="BS212" s="1175"/>
      <c r="BT212" s="1175"/>
      <c r="BU212" s="1175"/>
      <c r="BV212" s="1175"/>
      <c r="BW212" s="1175"/>
      <c r="BX212" s="1175"/>
      <c r="BY212" s="1175"/>
      <c r="BZ212" s="1175"/>
      <c r="CA212" s="1175"/>
      <c r="CB212" s="1175"/>
      <c r="CC212" s="1175"/>
      <c r="CD212" s="1175"/>
      <c r="CE212" s="1175"/>
      <c r="CF212" s="1175"/>
      <c r="CG212" s="1175"/>
      <c r="CH212" s="1175"/>
      <c r="CI212" s="1175"/>
      <c r="CJ212" s="1175"/>
      <c r="CK212" s="1175"/>
      <c r="CL212" s="1175"/>
      <c r="CM212" s="1175"/>
      <c r="CN212" s="1175"/>
      <c r="CO212" s="1175"/>
      <c r="CP212" s="1175"/>
      <c r="CQ212" s="1175"/>
      <c r="CR212" s="1175"/>
      <c r="CS212" s="1175"/>
      <c r="CT212" s="1175"/>
      <c r="CU212" s="1175"/>
      <c r="CV212" s="1175"/>
      <c r="CW212" s="1175"/>
      <c r="CX212" s="1175"/>
      <c r="CY212" s="1175"/>
      <c r="CZ212" s="1175"/>
      <c r="DA212" s="1175"/>
      <c r="DB212" s="1175"/>
      <c r="DC212" s="1175"/>
      <c r="DD212" s="1175"/>
      <c r="DE212" s="1175"/>
      <c r="DF212" s="1175"/>
      <c r="DG212" s="1175"/>
      <c r="DH212" s="1175"/>
      <c r="DI212" s="1175"/>
      <c r="DJ212" s="1175"/>
      <c r="DK212" s="1175"/>
      <c r="DL212" s="1175"/>
      <c r="DM212" s="1175"/>
      <c r="DN212" s="1175"/>
      <c r="DO212" s="1175"/>
      <c r="DP212" s="1175"/>
      <c r="DQ212" s="1175"/>
      <c r="DR212" s="1175"/>
      <c r="DS212" s="1175"/>
    </row>
    <row r="213" spans="5:123" s="1187" customFormat="1" ht="18" customHeight="1" x14ac:dyDescent="0.3">
      <c r="E213" s="1175"/>
      <c r="F213" s="1175"/>
      <c r="G213" s="1175"/>
      <c r="H213" s="1175"/>
      <c r="I213" s="1175"/>
      <c r="J213" s="1175"/>
      <c r="K213" s="1175"/>
      <c r="L213" s="1175"/>
      <c r="M213" s="1175"/>
      <c r="N213" s="1175"/>
      <c r="O213" s="1175"/>
      <c r="P213" s="1175"/>
      <c r="Q213" s="1175"/>
      <c r="R213" s="1175"/>
      <c r="S213" s="1175"/>
      <c r="T213" s="1175"/>
      <c r="U213" s="1175"/>
      <c r="V213" s="1175"/>
      <c r="W213" s="1175"/>
      <c r="X213" s="1175"/>
      <c r="Y213" s="1175"/>
      <c r="Z213" s="1175"/>
      <c r="AA213" s="1175"/>
      <c r="AB213" s="1175"/>
      <c r="AC213" s="1175"/>
      <c r="AD213" s="1175"/>
      <c r="AE213" s="1175"/>
      <c r="AF213" s="1175"/>
      <c r="AG213" s="1175"/>
      <c r="AH213" s="1175"/>
      <c r="AI213" s="1175"/>
      <c r="AJ213" s="1175"/>
      <c r="AK213" s="1175"/>
      <c r="AL213" s="1175"/>
      <c r="AM213" s="1175"/>
      <c r="AN213" s="1175"/>
      <c r="AO213" s="1175"/>
      <c r="AP213" s="1175"/>
      <c r="AQ213" s="1175"/>
      <c r="AR213" s="1175"/>
      <c r="AS213" s="1175"/>
      <c r="AT213" s="1175"/>
      <c r="AU213" s="1175"/>
      <c r="AV213" s="1175"/>
      <c r="AW213" s="1175"/>
      <c r="AX213" s="1175"/>
      <c r="AY213" s="1175"/>
      <c r="AZ213" s="1175"/>
      <c r="BA213" s="1175"/>
      <c r="BB213" s="1175"/>
      <c r="BC213" s="1175"/>
      <c r="BD213" s="1175"/>
      <c r="BE213" s="1175"/>
      <c r="BF213" s="1175"/>
      <c r="BG213" s="1175"/>
      <c r="BH213" s="1175"/>
      <c r="BI213" s="1175"/>
      <c r="BJ213" s="1175"/>
      <c r="BK213" s="1175"/>
      <c r="BL213" s="1175"/>
      <c r="BM213" s="1175"/>
      <c r="BN213" s="1175"/>
      <c r="BO213" s="1175"/>
      <c r="BP213" s="1175"/>
      <c r="BQ213" s="1175"/>
      <c r="BR213" s="1175"/>
      <c r="BS213" s="1175"/>
      <c r="BT213" s="1175"/>
      <c r="BU213" s="1175"/>
      <c r="BV213" s="1175"/>
      <c r="BW213" s="1175"/>
      <c r="BX213" s="1175"/>
      <c r="BY213" s="1175"/>
      <c r="BZ213" s="1175"/>
      <c r="CA213" s="1175"/>
      <c r="CB213" s="1175"/>
      <c r="CC213" s="1175"/>
      <c r="CD213" s="1175"/>
      <c r="CE213" s="1175"/>
      <c r="CF213" s="1175"/>
      <c r="CG213" s="1175"/>
      <c r="CH213" s="1175"/>
      <c r="CI213" s="1175"/>
      <c r="CJ213" s="1175"/>
      <c r="CK213" s="1175"/>
      <c r="CL213" s="1175"/>
      <c r="CM213" s="1175"/>
      <c r="CN213" s="1175"/>
      <c r="CO213" s="1175"/>
      <c r="CP213" s="1175"/>
      <c r="CQ213" s="1175"/>
      <c r="CR213" s="1175"/>
      <c r="CS213" s="1175"/>
      <c r="CT213" s="1175"/>
      <c r="CU213" s="1175"/>
      <c r="CV213" s="1175"/>
      <c r="CW213" s="1175"/>
      <c r="CX213" s="1175"/>
      <c r="CY213" s="1175"/>
      <c r="CZ213" s="1175"/>
      <c r="DA213" s="1175"/>
      <c r="DB213" s="1175"/>
      <c r="DC213" s="1175"/>
      <c r="DD213" s="1175"/>
      <c r="DE213" s="1175"/>
      <c r="DF213" s="1175"/>
      <c r="DG213" s="1175"/>
      <c r="DH213" s="1175"/>
      <c r="DI213" s="1175"/>
      <c r="DJ213" s="1175"/>
      <c r="DK213" s="1175"/>
      <c r="DL213" s="1175"/>
      <c r="DM213" s="1175"/>
      <c r="DN213" s="1175"/>
      <c r="DO213" s="1175"/>
      <c r="DP213" s="1175"/>
      <c r="DQ213" s="1175"/>
      <c r="DR213" s="1175"/>
      <c r="DS213" s="1175"/>
    </row>
    <row r="214" spans="5:123" s="1187" customFormat="1" ht="18" customHeight="1" x14ac:dyDescent="0.3">
      <c r="E214" s="1175"/>
      <c r="F214" s="1175"/>
      <c r="G214" s="1175"/>
      <c r="H214" s="1175"/>
      <c r="I214" s="1175"/>
      <c r="J214" s="1175"/>
      <c r="K214" s="1175"/>
      <c r="L214" s="1175"/>
      <c r="M214" s="1175"/>
      <c r="N214" s="1175"/>
      <c r="O214" s="1175"/>
      <c r="P214" s="1175"/>
      <c r="Q214" s="1175"/>
      <c r="R214" s="1175"/>
      <c r="S214" s="1175"/>
      <c r="T214" s="1175"/>
      <c r="U214" s="1175"/>
      <c r="V214" s="1175"/>
      <c r="W214" s="1175"/>
      <c r="X214" s="1175"/>
      <c r="Y214" s="1175"/>
      <c r="Z214" s="1175"/>
      <c r="AA214" s="1175"/>
      <c r="AB214" s="1175"/>
      <c r="AC214" s="1175"/>
      <c r="AD214" s="1175"/>
      <c r="AE214" s="1175"/>
      <c r="AF214" s="1175"/>
      <c r="AG214" s="1175"/>
      <c r="AH214" s="1175"/>
      <c r="AI214" s="1175"/>
      <c r="AJ214" s="1175"/>
      <c r="AK214" s="1175"/>
      <c r="AL214" s="1175"/>
      <c r="AM214" s="1175"/>
      <c r="AN214" s="1175"/>
      <c r="AO214" s="1175"/>
      <c r="AP214" s="1175"/>
      <c r="AQ214" s="1175"/>
      <c r="AR214" s="1175"/>
      <c r="AS214" s="1175"/>
      <c r="AT214" s="1175"/>
      <c r="AU214" s="1175"/>
      <c r="AV214" s="1175"/>
      <c r="AW214" s="1175"/>
      <c r="AX214" s="1175"/>
      <c r="AY214" s="1175"/>
      <c r="AZ214" s="1175"/>
      <c r="BA214" s="1175"/>
      <c r="BB214" s="1175"/>
      <c r="BC214" s="1175"/>
      <c r="BD214" s="1175"/>
      <c r="BE214" s="1175"/>
      <c r="BF214" s="1175"/>
      <c r="BG214" s="1175"/>
      <c r="BH214" s="1175"/>
      <c r="BI214" s="1175"/>
      <c r="BJ214" s="1175"/>
      <c r="BK214" s="1175"/>
      <c r="BL214" s="1175"/>
      <c r="BM214" s="1175"/>
      <c r="BN214" s="1175"/>
      <c r="BO214" s="1175"/>
      <c r="BP214" s="1175"/>
      <c r="BQ214" s="1175"/>
      <c r="BR214" s="1175"/>
      <c r="BS214" s="1175"/>
      <c r="BT214" s="1175"/>
      <c r="BU214" s="1175"/>
      <c r="BV214" s="1175"/>
      <c r="BW214" s="1175"/>
      <c r="BX214" s="1175"/>
      <c r="BY214" s="1175"/>
      <c r="BZ214" s="1175"/>
      <c r="CA214" s="1175"/>
      <c r="CB214" s="1175"/>
      <c r="CC214" s="1175"/>
      <c r="CD214" s="1175"/>
      <c r="CE214" s="1175"/>
      <c r="CF214" s="1175"/>
      <c r="CG214" s="1175"/>
      <c r="CH214" s="1175"/>
      <c r="CI214" s="1175"/>
      <c r="CJ214" s="1175"/>
      <c r="CK214" s="1175"/>
      <c r="CL214" s="1175"/>
      <c r="CM214" s="1175"/>
      <c r="CN214" s="1175"/>
      <c r="CO214" s="1175"/>
      <c r="CP214" s="1175"/>
      <c r="CQ214" s="1175"/>
      <c r="CR214" s="1175"/>
      <c r="CS214" s="1175"/>
      <c r="CT214" s="1175"/>
      <c r="CU214" s="1175"/>
      <c r="CV214" s="1175"/>
      <c r="CW214" s="1175"/>
      <c r="CX214" s="1175"/>
      <c r="CY214" s="1175"/>
      <c r="CZ214" s="1175"/>
      <c r="DA214" s="1175"/>
      <c r="DB214" s="1175"/>
      <c r="DC214" s="1175"/>
      <c r="DD214" s="1175"/>
      <c r="DE214" s="1175"/>
      <c r="DF214" s="1175"/>
      <c r="DG214" s="1175"/>
      <c r="DH214" s="1175"/>
      <c r="DI214" s="1175"/>
      <c r="DJ214" s="1175"/>
      <c r="DK214" s="1175"/>
      <c r="DL214" s="1175"/>
      <c r="DM214" s="1175"/>
      <c r="DN214" s="1175"/>
      <c r="DO214" s="1175"/>
      <c r="DP214" s="1175"/>
      <c r="DQ214" s="1175"/>
      <c r="DR214" s="1175"/>
      <c r="DS214" s="1175"/>
    </row>
    <row r="215" spans="5:123" s="1187" customFormat="1" ht="18" customHeight="1" x14ac:dyDescent="0.3">
      <c r="E215" s="1175"/>
      <c r="F215" s="1175"/>
      <c r="G215" s="1175"/>
      <c r="H215" s="1175"/>
      <c r="I215" s="1175"/>
      <c r="J215" s="1175"/>
      <c r="K215" s="1175"/>
      <c r="L215" s="1175"/>
      <c r="M215" s="1175"/>
      <c r="N215" s="1175"/>
      <c r="O215" s="1175"/>
      <c r="P215" s="1175"/>
      <c r="Q215" s="1175"/>
      <c r="R215" s="1175"/>
      <c r="S215" s="1175"/>
      <c r="T215" s="1175"/>
      <c r="U215" s="1175"/>
      <c r="V215" s="1175"/>
      <c r="W215" s="1175"/>
      <c r="X215" s="1175"/>
      <c r="Y215" s="1175"/>
      <c r="Z215" s="1175"/>
      <c r="AA215" s="1175"/>
      <c r="AB215" s="1175"/>
      <c r="AC215" s="1175"/>
      <c r="AD215" s="1175"/>
      <c r="AE215" s="1175"/>
      <c r="AF215" s="1175"/>
      <c r="AG215" s="1175"/>
      <c r="AH215" s="1175"/>
      <c r="AI215" s="1175"/>
      <c r="AJ215" s="1175"/>
      <c r="AK215" s="1175"/>
      <c r="AL215" s="1175"/>
      <c r="AM215" s="1175"/>
      <c r="AN215" s="1175"/>
      <c r="AO215" s="1175"/>
      <c r="AP215" s="1175"/>
      <c r="AQ215" s="1175"/>
      <c r="AR215" s="1175"/>
      <c r="AS215" s="1175"/>
      <c r="AT215" s="1175"/>
      <c r="AU215" s="1175"/>
      <c r="AV215" s="1175"/>
      <c r="AW215" s="1175"/>
      <c r="AX215" s="1175"/>
      <c r="AY215" s="1175"/>
      <c r="AZ215" s="1175"/>
      <c r="BA215" s="1175"/>
      <c r="BB215" s="1175"/>
      <c r="BC215" s="1175"/>
      <c r="BD215" s="1175"/>
      <c r="BE215" s="1175"/>
      <c r="BF215" s="1175"/>
      <c r="BG215" s="1175"/>
      <c r="BH215" s="1175"/>
      <c r="BI215" s="1175"/>
      <c r="BJ215" s="1175"/>
      <c r="BK215" s="1175"/>
      <c r="BL215" s="1175"/>
      <c r="BM215" s="1175"/>
      <c r="BN215" s="1175"/>
      <c r="BO215" s="1175"/>
      <c r="BP215" s="1175"/>
      <c r="BQ215" s="1175"/>
      <c r="BR215" s="1175"/>
      <c r="BS215" s="1175"/>
      <c r="BT215" s="1175"/>
      <c r="BU215" s="1175"/>
      <c r="BV215" s="1175"/>
      <c r="BW215" s="1175"/>
      <c r="BX215" s="1175"/>
      <c r="BY215" s="1175"/>
      <c r="BZ215" s="1175"/>
      <c r="CA215" s="1175"/>
      <c r="CB215" s="1175"/>
      <c r="CC215" s="1175"/>
      <c r="CD215" s="1175"/>
      <c r="CE215" s="1175"/>
      <c r="CF215" s="1175"/>
      <c r="CG215" s="1175"/>
      <c r="CH215" s="1175"/>
      <c r="CI215" s="1175"/>
      <c r="CJ215" s="1175"/>
      <c r="CK215" s="1175"/>
      <c r="CL215" s="1175"/>
      <c r="CM215" s="1175"/>
      <c r="CN215" s="1175"/>
      <c r="CO215" s="1175"/>
      <c r="CP215" s="1175"/>
      <c r="CQ215" s="1175"/>
      <c r="CR215" s="1175"/>
      <c r="CS215" s="1175"/>
      <c r="CT215" s="1175"/>
      <c r="CU215" s="1175"/>
      <c r="CV215" s="1175"/>
      <c r="CW215" s="1175"/>
      <c r="CX215" s="1175"/>
      <c r="CY215" s="1175"/>
      <c r="CZ215" s="1175"/>
      <c r="DA215" s="1175"/>
      <c r="DB215" s="1175"/>
      <c r="DC215" s="1175"/>
      <c r="DD215" s="1175"/>
      <c r="DE215" s="1175"/>
      <c r="DF215" s="1175"/>
      <c r="DG215" s="1175"/>
      <c r="DH215" s="1175"/>
      <c r="DI215" s="1175"/>
      <c r="DJ215" s="1175"/>
      <c r="DK215" s="1175"/>
      <c r="DL215" s="1175"/>
      <c r="DM215" s="1175"/>
      <c r="DN215" s="1175"/>
      <c r="DO215" s="1175"/>
      <c r="DP215" s="1175"/>
      <c r="DQ215" s="1175"/>
      <c r="DR215" s="1175"/>
      <c r="DS215" s="1175"/>
    </row>
    <row r="216" spans="5:123" s="1187" customFormat="1" ht="18" customHeight="1" x14ac:dyDescent="0.3">
      <c r="E216" s="1175"/>
      <c r="F216" s="1175"/>
      <c r="G216" s="1175"/>
      <c r="H216" s="1175"/>
      <c r="I216" s="1175"/>
      <c r="J216" s="1175"/>
      <c r="K216" s="1175"/>
      <c r="L216" s="1175"/>
      <c r="M216" s="1175"/>
      <c r="N216" s="1175"/>
      <c r="O216" s="1175"/>
      <c r="P216" s="1175"/>
      <c r="Q216" s="1175"/>
      <c r="R216" s="1175"/>
      <c r="S216" s="1175"/>
      <c r="T216" s="1175"/>
      <c r="U216" s="1175"/>
      <c r="V216" s="1175"/>
      <c r="W216" s="1175"/>
      <c r="X216" s="1175"/>
      <c r="Y216" s="1175"/>
      <c r="Z216" s="1175"/>
      <c r="AA216" s="1175"/>
      <c r="AB216" s="1175"/>
      <c r="AC216" s="1175"/>
      <c r="AD216" s="1175"/>
      <c r="AE216" s="1175"/>
      <c r="AF216" s="1175"/>
      <c r="AG216" s="1175"/>
      <c r="AH216" s="1175"/>
      <c r="AI216" s="1175"/>
      <c r="AJ216" s="1175"/>
      <c r="AK216" s="1175"/>
      <c r="AL216" s="1175"/>
      <c r="AM216" s="1175"/>
      <c r="AN216" s="1175"/>
      <c r="AO216" s="1175"/>
      <c r="AP216" s="1175"/>
      <c r="AQ216" s="1175"/>
      <c r="AR216" s="1175"/>
      <c r="AS216" s="1175"/>
      <c r="AT216" s="1175"/>
      <c r="AU216" s="1175"/>
      <c r="AV216" s="1175"/>
      <c r="AW216" s="1175"/>
      <c r="AX216" s="1175"/>
      <c r="AY216" s="1175"/>
      <c r="AZ216" s="1175"/>
      <c r="BA216" s="1175"/>
      <c r="BB216" s="1175"/>
      <c r="BC216" s="1175"/>
      <c r="BD216" s="1175"/>
      <c r="BE216" s="1175"/>
      <c r="BF216" s="1175"/>
      <c r="BG216" s="1175"/>
      <c r="BH216" s="1175"/>
      <c r="BI216" s="1175"/>
      <c r="BJ216" s="1175"/>
      <c r="BK216" s="1175"/>
      <c r="BL216" s="1175"/>
      <c r="BM216" s="1175"/>
      <c r="BN216" s="1175"/>
      <c r="BO216" s="1175"/>
      <c r="BP216" s="1175"/>
      <c r="BQ216" s="1175"/>
      <c r="BR216" s="1175"/>
      <c r="BS216" s="1175"/>
      <c r="BT216" s="1175"/>
      <c r="BU216" s="1175"/>
      <c r="BV216" s="1175"/>
      <c r="BW216" s="1175"/>
      <c r="BX216" s="1175"/>
      <c r="BY216" s="1175"/>
      <c r="BZ216" s="1175"/>
      <c r="CA216" s="1175"/>
      <c r="CB216" s="1175"/>
      <c r="CC216" s="1175"/>
      <c r="CD216" s="1175"/>
      <c r="CE216" s="1175"/>
      <c r="CF216" s="1175"/>
      <c r="CG216" s="1175"/>
      <c r="CH216" s="1175"/>
      <c r="CI216" s="1175"/>
      <c r="CJ216" s="1175"/>
      <c r="CK216" s="1175"/>
      <c r="CL216" s="1175"/>
      <c r="CM216" s="1175"/>
      <c r="CN216" s="1175"/>
      <c r="CO216" s="1175"/>
      <c r="CP216" s="1175"/>
      <c r="CQ216" s="1175"/>
      <c r="CR216" s="1175"/>
      <c r="CS216" s="1175"/>
      <c r="CT216" s="1175"/>
      <c r="CU216" s="1175"/>
      <c r="CV216" s="1175"/>
      <c r="CW216" s="1175"/>
      <c r="CX216" s="1175"/>
      <c r="CY216" s="1175"/>
      <c r="CZ216" s="1175"/>
      <c r="DA216" s="1175"/>
      <c r="DB216" s="1175"/>
      <c r="DC216" s="1175"/>
      <c r="DD216" s="1175"/>
      <c r="DE216" s="1175"/>
      <c r="DF216" s="1175"/>
      <c r="DG216" s="1175"/>
      <c r="DH216" s="1175"/>
      <c r="DI216" s="1175"/>
      <c r="DJ216" s="1175"/>
      <c r="DK216" s="1175"/>
      <c r="DL216" s="1175"/>
      <c r="DM216" s="1175"/>
      <c r="DN216" s="1175"/>
      <c r="DO216" s="1175"/>
      <c r="DP216" s="1175"/>
      <c r="DQ216" s="1175"/>
      <c r="DR216" s="1175"/>
      <c r="DS216" s="1175"/>
    </row>
    <row r="217" spans="5:123" s="1187" customFormat="1" ht="18" customHeight="1" x14ac:dyDescent="0.3">
      <c r="E217" s="1175"/>
      <c r="F217" s="1175"/>
      <c r="G217" s="1175"/>
      <c r="H217" s="1175"/>
      <c r="I217" s="1175"/>
      <c r="J217" s="1175"/>
      <c r="K217" s="1175"/>
      <c r="L217" s="1175"/>
      <c r="M217" s="1175"/>
      <c r="N217" s="1175"/>
      <c r="O217" s="1175"/>
      <c r="P217" s="1175"/>
      <c r="Q217" s="1175"/>
      <c r="R217" s="1175"/>
      <c r="S217" s="1175"/>
      <c r="T217" s="1175"/>
      <c r="U217" s="1175"/>
      <c r="V217" s="1175"/>
      <c r="W217" s="1175"/>
      <c r="X217" s="1175"/>
      <c r="Y217" s="1175"/>
      <c r="Z217" s="1175"/>
      <c r="AA217" s="1175"/>
      <c r="AB217" s="1175"/>
      <c r="AC217" s="1175"/>
      <c r="AD217" s="1175"/>
      <c r="AE217" s="1175"/>
      <c r="AF217" s="1175"/>
      <c r="AG217" s="1175"/>
      <c r="AH217" s="1175"/>
      <c r="AI217" s="1175"/>
      <c r="AJ217" s="1175"/>
      <c r="AK217" s="1175"/>
      <c r="AL217" s="1175"/>
      <c r="AM217" s="1175"/>
      <c r="AN217" s="1175"/>
      <c r="AO217" s="1175"/>
      <c r="AP217" s="1175"/>
      <c r="AQ217" s="1175"/>
      <c r="AR217" s="1175"/>
      <c r="AS217" s="1175"/>
      <c r="AT217" s="1175"/>
      <c r="AU217" s="1175"/>
      <c r="AV217" s="1175"/>
      <c r="AW217" s="1175"/>
      <c r="AX217" s="1175"/>
      <c r="AY217" s="1175"/>
      <c r="AZ217" s="1175"/>
      <c r="BA217" s="1175"/>
      <c r="BB217" s="1175"/>
      <c r="BC217" s="1175"/>
      <c r="BD217" s="1175"/>
      <c r="BE217" s="1175"/>
      <c r="BF217" s="1175"/>
      <c r="BG217" s="1175"/>
      <c r="BH217" s="1175"/>
      <c r="BI217" s="1175"/>
      <c r="BJ217" s="1175"/>
      <c r="BK217" s="1175"/>
      <c r="BL217" s="1175"/>
      <c r="BM217" s="1175"/>
      <c r="BN217" s="1175"/>
      <c r="BO217" s="1175"/>
      <c r="BP217" s="1175"/>
      <c r="BQ217" s="1175"/>
      <c r="BR217" s="1175"/>
      <c r="BS217" s="1175"/>
      <c r="BT217" s="1175"/>
      <c r="BU217" s="1175"/>
      <c r="BV217" s="1175"/>
      <c r="BW217" s="1175"/>
      <c r="BX217" s="1175"/>
      <c r="BY217" s="1175"/>
      <c r="BZ217" s="1175"/>
      <c r="CA217" s="1175"/>
      <c r="CB217" s="1175"/>
      <c r="CC217" s="1175"/>
      <c r="CD217" s="1175"/>
      <c r="CE217" s="1175"/>
      <c r="CF217" s="1175"/>
      <c r="CG217" s="1175"/>
      <c r="CH217" s="1175"/>
      <c r="CI217" s="1175"/>
      <c r="CJ217" s="1175"/>
      <c r="CK217" s="1175"/>
      <c r="CL217" s="1175"/>
      <c r="CM217" s="1175"/>
      <c r="CN217" s="1175"/>
      <c r="CO217" s="1175"/>
      <c r="CP217" s="1175"/>
      <c r="CQ217" s="1175"/>
      <c r="CR217" s="1175"/>
      <c r="CS217" s="1175"/>
      <c r="CT217" s="1175"/>
      <c r="CU217" s="1175"/>
      <c r="CV217" s="1175"/>
      <c r="CW217" s="1175"/>
      <c r="CX217" s="1175"/>
      <c r="CY217" s="1175"/>
      <c r="CZ217" s="1175"/>
      <c r="DA217" s="1175"/>
      <c r="DB217" s="1175"/>
      <c r="DC217" s="1175"/>
      <c r="DD217" s="1175"/>
      <c r="DE217" s="1175"/>
      <c r="DF217" s="1175"/>
      <c r="DG217" s="1175"/>
      <c r="DH217" s="1175"/>
      <c r="DI217" s="1175"/>
      <c r="DJ217" s="1175"/>
      <c r="DK217" s="1175"/>
      <c r="DL217" s="1175"/>
      <c r="DM217" s="1175"/>
      <c r="DN217" s="1175"/>
      <c r="DO217" s="1175"/>
      <c r="DP217" s="1175"/>
      <c r="DQ217" s="1175"/>
      <c r="DR217" s="1175"/>
      <c r="DS217" s="1175"/>
    </row>
    <row r="218" spans="5:123" s="1187" customFormat="1" ht="18" customHeight="1" x14ac:dyDescent="0.3">
      <c r="E218" s="1175"/>
      <c r="F218" s="1175"/>
      <c r="G218" s="1175"/>
      <c r="H218" s="1175"/>
      <c r="I218" s="1175"/>
      <c r="J218" s="1175"/>
      <c r="K218" s="1175"/>
      <c r="L218" s="1175"/>
      <c r="M218" s="1175"/>
      <c r="N218" s="1175"/>
      <c r="O218" s="1175"/>
      <c r="P218" s="1175"/>
      <c r="Q218" s="1175"/>
      <c r="R218" s="1175"/>
      <c r="S218" s="1175"/>
      <c r="T218" s="1175"/>
      <c r="U218" s="1175"/>
      <c r="V218" s="1175"/>
      <c r="W218" s="1175"/>
      <c r="X218" s="1175"/>
      <c r="Y218" s="1175"/>
      <c r="Z218" s="1175"/>
      <c r="AA218" s="1175"/>
      <c r="AB218" s="1175"/>
      <c r="AC218" s="1175"/>
      <c r="AD218" s="1175"/>
      <c r="AE218" s="1175"/>
      <c r="AF218" s="1175"/>
      <c r="AG218" s="1175"/>
      <c r="AH218" s="1175"/>
      <c r="AI218" s="1175"/>
      <c r="AJ218" s="1175"/>
      <c r="AK218" s="1175"/>
      <c r="AL218" s="1175"/>
      <c r="AM218" s="1175"/>
      <c r="AN218" s="1175"/>
      <c r="AO218" s="1175"/>
      <c r="AP218" s="1175"/>
      <c r="AQ218" s="1175"/>
      <c r="AR218" s="1175"/>
      <c r="AS218" s="1175"/>
      <c r="AT218" s="1175"/>
      <c r="AU218" s="1175"/>
      <c r="AV218" s="1175"/>
      <c r="AW218" s="1175"/>
      <c r="AX218" s="1175"/>
      <c r="AY218" s="1175"/>
      <c r="AZ218" s="1175"/>
      <c r="BA218" s="1175"/>
      <c r="BB218" s="1175"/>
      <c r="BC218" s="1175"/>
      <c r="BD218" s="1175"/>
      <c r="BE218" s="1175"/>
      <c r="BF218" s="1175"/>
      <c r="BG218" s="1175"/>
      <c r="BH218" s="1175"/>
      <c r="BI218" s="1175"/>
      <c r="BJ218" s="1175"/>
      <c r="BK218" s="1175"/>
      <c r="BL218" s="1175"/>
      <c r="BM218" s="1175"/>
      <c r="BN218" s="1175"/>
      <c r="BO218" s="1175"/>
      <c r="BP218" s="1175"/>
      <c r="BQ218" s="1175"/>
      <c r="BR218" s="1175"/>
      <c r="BS218" s="1175"/>
      <c r="BT218" s="1175"/>
      <c r="BU218" s="1175"/>
      <c r="BV218" s="1175"/>
      <c r="BW218" s="1175"/>
      <c r="BX218" s="1175"/>
      <c r="BY218" s="1175"/>
      <c r="BZ218" s="1175"/>
      <c r="CA218" s="1175"/>
      <c r="CB218" s="1175"/>
      <c r="CC218" s="1175"/>
      <c r="CD218" s="1175"/>
      <c r="CE218" s="1175"/>
      <c r="CF218" s="1175"/>
      <c r="CG218" s="1175"/>
      <c r="CH218" s="1175"/>
      <c r="CI218" s="1175"/>
      <c r="CJ218" s="1175"/>
      <c r="CK218" s="1175"/>
      <c r="CL218" s="1175"/>
      <c r="CM218" s="1175"/>
      <c r="CN218" s="1175"/>
      <c r="CO218" s="1175"/>
      <c r="CP218" s="1175"/>
      <c r="CQ218" s="1175"/>
      <c r="CR218" s="1175"/>
      <c r="CS218" s="1175"/>
      <c r="CT218" s="1175"/>
      <c r="CU218" s="1175"/>
      <c r="CV218" s="1175"/>
      <c r="CW218" s="1175"/>
      <c r="CX218" s="1175"/>
      <c r="CY218" s="1175"/>
      <c r="CZ218" s="1175"/>
      <c r="DA218" s="1175"/>
      <c r="DB218" s="1175"/>
      <c r="DC218" s="1175"/>
      <c r="DD218" s="1175"/>
      <c r="DE218" s="1175"/>
      <c r="DF218" s="1175"/>
      <c r="DG218" s="1175"/>
      <c r="DH218" s="1175"/>
      <c r="DI218" s="1175"/>
      <c r="DJ218" s="1175"/>
      <c r="DK218" s="1175"/>
      <c r="DL218" s="1175"/>
      <c r="DM218" s="1175"/>
      <c r="DN218" s="1175"/>
      <c r="DO218" s="1175"/>
      <c r="DP218" s="1175"/>
      <c r="DQ218" s="1175"/>
      <c r="DR218" s="1175"/>
      <c r="DS218" s="1175"/>
    </row>
    <row r="219" spans="5:123" s="1187" customFormat="1" ht="18" customHeight="1" x14ac:dyDescent="0.3">
      <c r="E219" s="1175"/>
      <c r="F219" s="1175"/>
      <c r="G219" s="1175"/>
      <c r="H219" s="1175"/>
      <c r="I219" s="1175"/>
      <c r="J219" s="1175"/>
      <c r="K219" s="1175"/>
      <c r="L219" s="1175"/>
      <c r="M219" s="1175"/>
      <c r="N219" s="1175"/>
      <c r="O219" s="1175"/>
      <c r="P219" s="1175"/>
      <c r="Q219" s="1175"/>
      <c r="R219" s="1175"/>
      <c r="S219" s="1175"/>
      <c r="T219" s="1175"/>
      <c r="U219" s="1175"/>
      <c r="V219" s="1175"/>
      <c r="W219" s="1175"/>
      <c r="X219" s="1175"/>
      <c r="Y219" s="1175"/>
      <c r="Z219" s="1175"/>
      <c r="AA219" s="1175"/>
      <c r="AB219" s="1175"/>
      <c r="AC219" s="1175"/>
      <c r="AD219" s="1175"/>
      <c r="AE219" s="1175"/>
      <c r="AF219" s="1175"/>
      <c r="AG219" s="1175"/>
      <c r="AH219" s="1175"/>
      <c r="AI219" s="1175"/>
      <c r="AJ219" s="1175"/>
      <c r="AK219" s="1175"/>
      <c r="AL219" s="1175"/>
      <c r="AM219" s="1175"/>
      <c r="AN219" s="1175"/>
      <c r="AO219" s="1175"/>
      <c r="AP219" s="1175"/>
      <c r="AQ219" s="1175"/>
      <c r="AR219" s="1175"/>
      <c r="AS219" s="1175"/>
      <c r="AT219" s="1175"/>
      <c r="AU219" s="1175"/>
      <c r="AV219" s="1175"/>
      <c r="AW219" s="1175"/>
      <c r="AX219" s="1175"/>
      <c r="AY219" s="1175"/>
      <c r="AZ219" s="1175"/>
      <c r="BA219" s="1175"/>
      <c r="BB219" s="1175"/>
      <c r="BC219" s="1175"/>
      <c r="BD219" s="1175"/>
      <c r="BE219" s="1175"/>
      <c r="BF219" s="1175"/>
      <c r="BG219" s="1175"/>
      <c r="BH219" s="1175"/>
      <c r="BI219" s="1175"/>
      <c r="BJ219" s="1175"/>
      <c r="BK219" s="1175"/>
      <c r="BL219" s="1175"/>
      <c r="BM219" s="1175"/>
      <c r="BN219" s="1175"/>
      <c r="BO219" s="1175"/>
      <c r="BP219" s="1175"/>
      <c r="BQ219" s="1175"/>
      <c r="BR219" s="1175"/>
      <c r="BS219" s="1175"/>
      <c r="BT219" s="1175"/>
      <c r="BU219" s="1175"/>
      <c r="BV219" s="1175"/>
      <c r="BW219" s="1175"/>
      <c r="BX219" s="1175"/>
      <c r="BY219" s="1175"/>
      <c r="BZ219" s="1175"/>
      <c r="CA219" s="1175"/>
      <c r="CB219" s="1175"/>
      <c r="CC219" s="1175"/>
      <c r="CD219" s="1175"/>
      <c r="CE219" s="1175"/>
      <c r="CF219" s="1175"/>
      <c r="CG219" s="1175"/>
      <c r="CH219" s="1175"/>
      <c r="CI219" s="1175"/>
      <c r="CJ219" s="1175"/>
      <c r="CK219" s="1175"/>
      <c r="CL219" s="1175"/>
      <c r="CM219" s="1175"/>
      <c r="CN219" s="1175"/>
      <c r="CO219" s="1175"/>
      <c r="CP219" s="1175"/>
      <c r="CQ219" s="1175"/>
      <c r="CR219" s="1175"/>
      <c r="CS219" s="1175"/>
      <c r="CT219" s="1175"/>
      <c r="CU219" s="1175"/>
      <c r="CV219" s="1175"/>
      <c r="CW219" s="1175"/>
      <c r="CX219" s="1175"/>
      <c r="CY219" s="1175"/>
      <c r="CZ219" s="1175"/>
      <c r="DA219" s="1175"/>
      <c r="DB219" s="1175"/>
      <c r="DC219" s="1175"/>
      <c r="DD219" s="1175"/>
      <c r="DE219" s="1175"/>
      <c r="DF219" s="1175"/>
      <c r="DG219" s="1175"/>
      <c r="DH219" s="1175"/>
      <c r="DI219" s="1175"/>
      <c r="DJ219" s="1175"/>
      <c r="DK219" s="1175"/>
      <c r="DL219" s="1175"/>
      <c r="DM219" s="1175"/>
      <c r="DN219" s="1175"/>
      <c r="DO219" s="1175"/>
      <c r="DP219" s="1175"/>
      <c r="DQ219" s="1175"/>
      <c r="DR219" s="1175"/>
      <c r="DS219" s="1175"/>
    </row>
    <row r="220" spans="5:123" s="1187" customFormat="1" ht="18" customHeight="1" x14ac:dyDescent="0.3">
      <c r="E220" s="1175"/>
      <c r="F220" s="1175"/>
      <c r="G220" s="1175"/>
      <c r="H220" s="1175"/>
      <c r="I220" s="1175"/>
      <c r="J220" s="1175"/>
      <c r="K220" s="1175"/>
      <c r="L220" s="1175"/>
      <c r="M220" s="1175"/>
      <c r="N220" s="1175"/>
      <c r="O220" s="1175"/>
      <c r="P220" s="1175"/>
      <c r="Q220" s="1175"/>
      <c r="R220" s="1175"/>
      <c r="S220" s="1175"/>
      <c r="T220" s="1175"/>
      <c r="U220" s="1175"/>
      <c r="V220" s="1175"/>
      <c r="W220" s="1175"/>
      <c r="X220" s="1175"/>
      <c r="Y220" s="1175"/>
      <c r="Z220" s="1175"/>
      <c r="AA220" s="1175"/>
      <c r="AB220" s="1175"/>
      <c r="AC220" s="1175"/>
      <c r="AD220" s="1175"/>
      <c r="AE220" s="1175"/>
      <c r="AF220" s="1175"/>
      <c r="AG220" s="1175"/>
      <c r="AH220" s="1175"/>
      <c r="AI220" s="1175"/>
      <c r="AJ220" s="1175"/>
      <c r="AK220" s="1175"/>
      <c r="AL220" s="1175"/>
      <c r="AM220" s="1175"/>
      <c r="AN220" s="1175"/>
      <c r="AO220" s="1175"/>
      <c r="AP220" s="1175"/>
      <c r="AQ220" s="1175"/>
      <c r="AR220" s="1175"/>
      <c r="AS220" s="1175"/>
      <c r="AT220" s="1175"/>
      <c r="AU220" s="1175"/>
      <c r="AV220" s="1175"/>
      <c r="AW220" s="1175"/>
      <c r="AX220" s="1175"/>
      <c r="AY220" s="1175"/>
      <c r="AZ220" s="1175"/>
      <c r="BA220" s="1175"/>
      <c r="BB220" s="1175"/>
      <c r="BC220" s="1175"/>
      <c r="BD220" s="1175"/>
      <c r="BE220" s="1175"/>
      <c r="BF220" s="1175"/>
      <c r="BG220" s="1175"/>
      <c r="BH220" s="1175"/>
      <c r="BI220" s="1175"/>
      <c r="BJ220" s="1175"/>
      <c r="BK220" s="1175"/>
      <c r="BL220" s="1175"/>
      <c r="BM220" s="1175"/>
      <c r="BN220" s="1175"/>
      <c r="BO220" s="1175"/>
      <c r="BP220" s="1175"/>
      <c r="BQ220" s="1175"/>
      <c r="BR220" s="1175"/>
      <c r="BS220" s="1175"/>
      <c r="BT220" s="1175"/>
      <c r="BU220" s="1175"/>
      <c r="BV220" s="1175"/>
      <c r="BW220" s="1175"/>
      <c r="BX220" s="1175"/>
      <c r="BY220" s="1175"/>
      <c r="BZ220" s="1175"/>
      <c r="CA220" s="1175"/>
      <c r="CB220" s="1175"/>
      <c r="CC220" s="1175"/>
      <c r="CD220" s="1175"/>
      <c r="CE220" s="1175"/>
      <c r="CF220" s="1175"/>
      <c r="CG220" s="1175"/>
      <c r="CH220" s="1175"/>
      <c r="CI220" s="1175"/>
      <c r="CJ220" s="1175"/>
      <c r="CK220" s="1175"/>
      <c r="CL220" s="1175"/>
      <c r="CM220" s="1175"/>
      <c r="CN220" s="1175"/>
      <c r="CO220" s="1175"/>
      <c r="CP220" s="1175"/>
      <c r="CQ220" s="1175"/>
      <c r="CR220" s="1175"/>
      <c r="CS220" s="1175"/>
      <c r="CT220" s="1175"/>
      <c r="CU220" s="1175"/>
      <c r="CV220" s="1175"/>
      <c r="CW220" s="1175"/>
      <c r="CX220" s="1175"/>
      <c r="CY220" s="1175"/>
      <c r="CZ220" s="1175"/>
      <c r="DA220" s="1175"/>
      <c r="DB220" s="1175"/>
      <c r="DC220" s="1175"/>
      <c r="DD220" s="1175"/>
      <c r="DE220" s="1175"/>
      <c r="DF220" s="1175"/>
      <c r="DG220" s="1175"/>
      <c r="DH220" s="1175"/>
      <c r="DI220" s="1175"/>
      <c r="DJ220" s="1175"/>
      <c r="DK220" s="1175"/>
      <c r="DL220" s="1175"/>
      <c r="DM220" s="1175"/>
      <c r="DN220" s="1175"/>
      <c r="DO220" s="1175"/>
      <c r="DP220" s="1175"/>
      <c r="DQ220" s="1175"/>
      <c r="DR220" s="1175"/>
      <c r="DS220" s="1175"/>
    </row>
    <row r="221" spans="5:123" s="1187" customFormat="1" ht="18" customHeight="1" x14ac:dyDescent="0.3">
      <c r="E221" s="1175"/>
      <c r="F221" s="1175"/>
      <c r="G221" s="1175"/>
      <c r="H221" s="1175"/>
      <c r="I221" s="1175"/>
      <c r="J221" s="1175"/>
      <c r="K221" s="1175"/>
      <c r="L221" s="1175"/>
      <c r="M221" s="1175"/>
      <c r="N221" s="1175"/>
      <c r="O221" s="1175"/>
      <c r="P221" s="1175"/>
      <c r="Q221" s="1175"/>
      <c r="R221" s="1175"/>
      <c r="S221" s="1175"/>
      <c r="T221" s="1175"/>
      <c r="U221" s="1175"/>
      <c r="V221" s="1175"/>
      <c r="W221" s="1175"/>
      <c r="X221" s="1175"/>
      <c r="Y221" s="1175"/>
      <c r="Z221" s="1175"/>
      <c r="AA221" s="1175"/>
      <c r="AB221" s="1175"/>
      <c r="AC221" s="1175"/>
      <c r="AD221" s="1175"/>
      <c r="AE221" s="1175"/>
      <c r="AF221" s="1175"/>
      <c r="AG221" s="1175"/>
      <c r="AH221" s="1175"/>
      <c r="AI221" s="1175"/>
      <c r="AJ221" s="1175"/>
      <c r="AK221" s="1175"/>
      <c r="AL221" s="1175"/>
      <c r="AM221" s="1175"/>
      <c r="AN221" s="1175"/>
      <c r="AO221" s="1175"/>
      <c r="AP221" s="1175"/>
      <c r="AQ221" s="1175"/>
      <c r="AR221" s="1175"/>
      <c r="AS221" s="1175"/>
      <c r="AT221" s="1175"/>
      <c r="AU221" s="1175"/>
      <c r="AV221" s="1175"/>
      <c r="AW221" s="1175"/>
      <c r="AX221" s="1175"/>
      <c r="AY221" s="1175"/>
      <c r="AZ221" s="1175"/>
      <c r="BA221" s="1175"/>
      <c r="BB221" s="1175"/>
      <c r="BC221" s="1175"/>
      <c r="BD221" s="1175"/>
      <c r="BE221" s="1175"/>
      <c r="BF221" s="1175"/>
      <c r="BG221" s="1175"/>
      <c r="BH221" s="1175"/>
      <c r="BI221" s="1175"/>
      <c r="BJ221" s="1175"/>
      <c r="BK221" s="1175"/>
      <c r="BL221" s="1175"/>
      <c r="BM221" s="1175"/>
      <c r="BN221" s="1175"/>
      <c r="BO221" s="1175"/>
      <c r="BP221" s="1175"/>
      <c r="BQ221" s="1175"/>
      <c r="BR221" s="1175"/>
      <c r="BS221" s="1175"/>
      <c r="BT221" s="1175"/>
      <c r="BU221" s="1175"/>
      <c r="BV221" s="1175"/>
      <c r="BW221" s="1175"/>
      <c r="BX221" s="1175"/>
      <c r="BY221" s="1175"/>
      <c r="BZ221" s="1175"/>
      <c r="CA221" s="1175"/>
      <c r="CB221" s="1175"/>
      <c r="CC221" s="1175"/>
      <c r="CD221" s="1175"/>
      <c r="CE221" s="1175"/>
      <c r="CF221" s="1175"/>
      <c r="CG221" s="1175"/>
      <c r="CH221" s="1175"/>
      <c r="CI221" s="1175"/>
      <c r="CJ221" s="1175"/>
      <c r="CK221" s="1175"/>
      <c r="CL221" s="1175"/>
      <c r="CM221" s="1175"/>
      <c r="CN221" s="1175"/>
      <c r="CO221" s="1175"/>
      <c r="CP221" s="1175"/>
      <c r="CQ221" s="1175"/>
      <c r="CR221" s="1175"/>
      <c r="CS221" s="1175"/>
      <c r="CT221" s="1175"/>
      <c r="CU221" s="1175"/>
      <c r="CV221" s="1175"/>
      <c r="CW221" s="1175"/>
      <c r="CX221" s="1175"/>
      <c r="CY221" s="1175"/>
      <c r="CZ221" s="1175"/>
      <c r="DA221" s="1175"/>
      <c r="DB221" s="1175"/>
      <c r="DC221" s="1175"/>
      <c r="DD221" s="1175"/>
      <c r="DE221" s="1175"/>
      <c r="DF221" s="1175"/>
      <c r="DG221" s="1175"/>
      <c r="DH221" s="1175"/>
      <c r="DI221" s="1175"/>
      <c r="DJ221" s="1175"/>
      <c r="DK221" s="1175"/>
      <c r="DL221" s="1175"/>
      <c r="DM221" s="1175"/>
      <c r="DN221" s="1175"/>
      <c r="DO221" s="1175"/>
      <c r="DP221" s="1175"/>
      <c r="DQ221" s="1175"/>
      <c r="DR221" s="1175"/>
      <c r="DS221" s="1175"/>
    </row>
    <row r="222" spans="5:123" s="1187" customFormat="1" ht="18" customHeight="1" x14ac:dyDescent="0.3">
      <c r="E222" s="1175"/>
      <c r="F222" s="1175"/>
      <c r="G222" s="1175"/>
      <c r="H222" s="1175"/>
      <c r="I222" s="1175"/>
      <c r="J222" s="1175"/>
      <c r="K222" s="1175"/>
      <c r="L222" s="1175"/>
      <c r="M222" s="1175"/>
      <c r="N222" s="1175"/>
      <c r="O222" s="1175"/>
      <c r="P222" s="1175"/>
      <c r="Q222" s="1175"/>
      <c r="R222" s="1175"/>
      <c r="S222" s="1175"/>
      <c r="T222" s="1175"/>
      <c r="U222" s="1175"/>
      <c r="V222" s="1175"/>
      <c r="W222" s="1175"/>
      <c r="X222" s="1175"/>
      <c r="Y222" s="1175"/>
      <c r="Z222" s="1175"/>
      <c r="AA222" s="1175"/>
      <c r="AB222" s="1175"/>
      <c r="AC222" s="1175"/>
      <c r="AD222" s="1175"/>
      <c r="AE222" s="1175"/>
      <c r="AF222" s="1175"/>
      <c r="AG222" s="1175"/>
      <c r="AH222" s="1175"/>
      <c r="AI222" s="1175"/>
      <c r="AJ222" s="1175"/>
      <c r="AK222" s="1175"/>
      <c r="AL222" s="1175"/>
      <c r="AM222" s="1175"/>
      <c r="AN222" s="1175"/>
      <c r="AO222" s="1175"/>
      <c r="AP222" s="1175"/>
      <c r="AQ222" s="1175"/>
      <c r="AR222" s="1175"/>
      <c r="AS222" s="1175"/>
      <c r="AT222" s="1175"/>
      <c r="AU222" s="1175"/>
      <c r="AV222" s="1175"/>
      <c r="AW222" s="1175"/>
      <c r="AX222" s="1175"/>
      <c r="AY222" s="1175"/>
      <c r="AZ222" s="1175"/>
      <c r="BA222" s="1175"/>
      <c r="BB222" s="1175"/>
      <c r="BC222" s="1175"/>
      <c r="BD222" s="1175"/>
      <c r="BE222" s="1175"/>
      <c r="BF222" s="1175"/>
      <c r="BG222" s="1175"/>
      <c r="BH222" s="1175"/>
      <c r="BI222" s="1175"/>
      <c r="BJ222" s="1175"/>
      <c r="BK222" s="1175"/>
      <c r="BL222" s="1175"/>
      <c r="BM222" s="1175"/>
      <c r="BN222" s="1175"/>
      <c r="BO222" s="1175"/>
      <c r="BP222" s="1175"/>
      <c r="BQ222" s="1175"/>
      <c r="BR222" s="1175"/>
      <c r="BS222" s="1175"/>
      <c r="BT222" s="1175"/>
      <c r="BU222" s="1175"/>
      <c r="BV222" s="1175"/>
      <c r="BW222" s="1175"/>
      <c r="BX222" s="1175"/>
      <c r="BY222" s="1175"/>
      <c r="BZ222" s="1175"/>
      <c r="CA222" s="1175"/>
      <c r="CB222" s="1175"/>
      <c r="CC222" s="1175"/>
      <c r="CD222" s="1175"/>
      <c r="CE222" s="1175"/>
      <c r="CF222" s="1175"/>
      <c r="CG222" s="1175"/>
      <c r="CH222" s="1175"/>
      <c r="CI222" s="1175"/>
      <c r="CJ222" s="1175"/>
      <c r="CK222" s="1175"/>
      <c r="CL222" s="1175"/>
      <c r="CM222" s="1175"/>
      <c r="CN222" s="1175"/>
      <c r="CO222" s="1175"/>
      <c r="CP222" s="1175"/>
      <c r="CQ222" s="1175"/>
      <c r="CR222" s="1175"/>
      <c r="CS222" s="1175"/>
      <c r="CT222" s="1175"/>
      <c r="CU222" s="1175"/>
      <c r="CV222" s="1175"/>
      <c r="CW222" s="1175"/>
      <c r="CX222" s="1175"/>
      <c r="CY222" s="1175"/>
      <c r="CZ222" s="1175"/>
      <c r="DA222" s="1175"/>
      <c r="DB222" s="1175"/>
      <c r="DC222" s="1175"/>
      <c r="DD222" s="1175"/>
      <c r="DE222" s="1175"/>
      <c r="DF222" s="1175"/>
      <c r="DG222" s="1175"/>
      <c r="DH222" s="1175"/>
      <c r="DI222" s="1175"/>
      <c r="DJ222" s="1175"/>
      <c r="DK222" s="1175"/>
      <c r="DL222" s="1175"/>
      <c r="DM222" s="1175"/>
      <c r="DN222" s="1175"/>
      <c r="DO222" s="1175"/>
      <c r="DP222" s="1175"/>
      <c r="DQ222" s="1175"/>
      <c r="DR222" s="1175"/>
      <c r="DS222" s="1175"/>
    </row>
    <row r="223" spans="5:123" s="1187" customFormat="1" ht="18" customHeight="1" x14ac:dyDescent="0.3">
      <c r="E223" s="1175"/>
      <c r="F223" s="1175"/>
      <c r="G223" s="1175"/>
      <c r="H223" s="1175"/>
      <c r="I223" s="1175"/>
      <c r="J223" s="1175"/>
      <c r="K223" s="1175"/>
      <c r="L223" s="1175"/>
      <c r="M223" s="1175"/>
      <c r="N223" s="1175"/>
      <c r="O223" s="1175"/>
      <c r="P223" s="1175"/>
      <c r="Q223" s="1175"/>
      <c r="R223" s="1175"/>
      <c r="S223" s="1175"/>
      <c r="T223" s="1175"/>
      <c r="U223" s="1175"/>
      <c r="V223" s="1175"/>
      <c r="W223" s="1175"/>
      <c r="X223" s="1175"/>
      <c r="Y223" s="1175"/>
      <c r="Z223" s="1175"/>
      <c r="AA223" s="1175"/>
      <c r="AB223" s="1175"/>
      <c r="AC223" s="1175"/>
      <c r="AD223" s="1175"/>
      <c r="AE223" s="1175"/>
      <c r="AF223" s="1175"/>
      <c r="AG223" s="1175"/>
      <c r="AH223" s="1175"/>
      <c r="AI223" s="1175"/>
      <c r="AJ223" s="1175"/>
      <c r="AK223" s="1175"/>
      <c r="AL223" s="1175"/>
      <c r="AM223" s="1175"/>
      <c r="AN223" s="1175"/>
      <c r="AO223" s="1175"/>
      <c r="AP223" s="1175"/>
      <c r="AQ223" s="1175"/>
      <c r="AR223" s="1175"/>
      <c r="AS223" s="1175"/>
      <c r="AT223" s="1175"/>
      <c r="AU223" s="1175"/>
      <c r="AV223" s="1175"/>
      <c r="AW223" s="1175"/>
      <c r="AX223" s="1175"/>
      <c r="AY223" s="1175"/>
      <c r="AZ223" s="1175"/>
      <c r="BA223" s="1175"/>
      <c r="BB223" s="1175"/>
      <c r="BC223" s="1175"/>
      <c r="BD223" s="1175"/>
      <c r="BE223" s="1175"/>
      <c r="BF223" s="1175"/>
      <c r="BG223" s="1175"/>
      <c r="BH223" s="1175"/>
      <c r="BI223" s="1175"/>
      <c r="BJ223" s="1175"/>
      <c r="BK223" s="1175"/>
      <c r="BL223" s="1175"/>
      <c r="BM223" s="1175"/>
      <c r="BN223" s="1175"/>
      <c r="BO223" s="1175"/>
      <c r="BP223" s="1175"/>
      <c r="BQ223" s="1175"/>
      <c r="BR223" s="1175"/>
      <c r="BS223" s="1175"/>
      <c r="BT223" s="1175"/>
      <c r="BU223" s="1175"/>
      <c r="BV223" s="1175"/>
      <c r="BW223" s="1175"/>
      <c r="BX223" s="1175"/>
      <c r="BY223" s="1175"/>
      <c r="BZ223" s="1175"/>
      <c r="CA223" s="1175"/>
      <c r="CB223" s="1175"/>
      <c r="CC223" s="1175"/>
      <c r="CD223" s="1175"/>
      <c r="CE223" s="1175"/>
      <c r="CF223" s="1175"/>
      <c r="CG223" s="1175"/>
      <c r="CH223" s="1175"/>
      <c r="CI223" s="1175"/>
      <c r="CJ223" s="1175"/>
      <c r="CK223" s="1175"/>
      <c r="CL223" s="1175"/>
      <c r="CM223" s="1175"/>
      <c r="CN223" s="1175"/>
      <c r="CO223" s="1175"/>
      <c r="CP223" s="1175"/>
      <c r="CQ223" s="1175"/>
      <c r="CR223" s="1175"/>
      <c r="CS223" s="1175"/>
      <c r="CT223" s="1175"/>
      <c r="CU223" s="1175"/>
      <c r="CV223" s="1175"/>
      <c r="CW223" s="1175"/>
      <c r="CX223" s="1175"/>
      <c r="CY223" s="1175"/>
      <c r="CZ223" s="1175"/>
      <c r="DA223" s="1175"/>
      <c r="DB223" s="1175"/>
      <c r="DC223" s="1175"/>
      <c r="DD223" s="1175"/>
      <c r="DE223" s="1175"/>
      <c r="DF223" s="1175"/>
      <c r="DG223" s="1175"/>
      <c r="DH223" s="1175"/>
      <c r="DI223" s="1175"/>
      <c r="DJ223" s="1175"/>
      <c r="DK223" s="1175"/>
      <c r="DL223" s="1175"/>
      <c r="DM223" s="1175"/>
      <c r="DN223" s="1175"/>
      <c r="DO223" s="1175"/>
      <c r="DP223" s="1175"/>
      <c r="DQ223" s="1175"/>
      <c r="DR223" s="1175"/>
      <c r="DS223" s="1175"/>
    </row>
    <row r="224" spans="5:123" s="1187" customFormat="1" ht="18" customHeight="1" x14ac:dyDescent="0.3">
      <c r="E224" s="1175"/>
      <c r="F224" s="1175"/>
      <c r="G224" s="1175"/>
      <c r="H224" s="1175"/>
      <c r="I224" s="1175"/>
      <c r="J224" s="1175"/>
      <c r="K224" s="1175"/>
      <c r="L224" s="1175"/>
      <c r="M224" s="1175"/>
      <c r="N224" s="1175"/>
      <c r="O224" s="1175"/>
      <c r="P224" s="1175"/>
      <c r="Q224" s="1175"/>
      <c r="R224" s="1175"/>
      <c r="S224" s="1175"/>
      <c r="T224" s="1175"/>
      <c r="U224" s="1175"/>
      <c r="V224" s="1175"/>
      <c r="W224" s="1175"/>
      <c r="X224" s="1175"/>
      <c r="Y224" s="1175"/>
      <c r="Z224" s="1175"/>
      <c r="AA224" s="1175"/>
      <c r="AB224" s="1175"/>
      <c r="AC224" s="1175"/>
      <c r="AD224" s="1175"/>
      <c r="AE224" s="1175"/>
      <c r="AF224" s="1175"/>
      <c r="AG224" s="1175"/>
      <c r="AH224" s="1175"/>
      <c r="AI224" s="1175"/>
      <c r="AJ224" s="1175"/>
      <c r="AK224" s="1175"/>
      <c r="AL224" s="1175"/>
      <c r="AM224" s="1175"/>
      <c r="AN224" s="1175"/>
      <c r="AO224" s="1175"/>
      <c r="AP224" s="1175"/>
      <c r="AQ224" s="1175"/>
      <c r="AR224" s="1175"/>
      <c r="AS224" s="1175"/>
      <c r="AT224" s="1175"/>
      <c r="AU224" s="1175"/>
      <c r="AV224" s="1175"/>
      <c r="AW224" s="1175"/>
      <c r="AX224" s="1175"/>
      <c r="AY224" s="1175"/>
      <c r="AZ224" s="1175"/>
      <c r="BA224" s="1175"/>
      <c r="BB224" s="1175"/>
      <c r="BC224" s="1175"/>
      <c r="BD224" s="1175"/>
      <c r="BE224" s="1175"/>
      <c r="BF224" s="1175"/>
      <c r="BG224" s="1175"/>
      <c r="BH224" s="1175"/>
      <c r="BI224" s="1175"/>
      <c r="BJ224" s="1175"/>
      <c r="BK224" s="1175"/>
      <c r="BL224" s="1175"/>
      <c r="BM224" s="1175"/>
      <c r="BN224" s="1175"/>
      <c r="BO224" s="1175"/>
      <c r="BP224" s="1175"/>
      <c r="BQ224" s="1175"/>
      <c r="BR224" s="1175"/>
      <c r="BS224" s="1175"/>
      <c r="BT224" s="1175"/>
      <c r="BU224" s="1175"/>
      <c r="BV224" s="1175"/>
      <c r="BW224" s="1175"/>
      <c r="BX224" s="1175"/>
      <c r="BY224" s="1175"/>
      <c r="BZ224" s="1175"/>
      <c r="CA224" s="1175"/>
      <c r="CB224" s="1175"/>
      <c r="CC224" s="1175"/>
      <c r="CD224" s="1175"/>
      <c r="CE224" s="1175"/>
      <c r="CF224" s="1175"/>
      <c r="CG224" s="1175"/>
      <c r="CH224" s="1175"/>
      <c r="CI224" s="1175"/>
      <c r="CJ224" s="1175"/>
      <c r="CK224" s="1175"/>
      <c r="CL224" s="1175"/>
      <c r="CM224" s="1175"/>
      <c r="CN224" s="1175"/>
      <c r="CO224" s="1175"/>
      <c r="CP224" s="1175"/>
      <c r="CQ224" s="1175"/>
      <c r="CR224" s="1175"/>
      <c r="CS224" s="1175"/>
      <c r="CT224" s="1175"/>
      <c r="CU224" s="1175"/>
      <c r="CV224" s="1175"/>
      <c r="CW224" s="1175"/>
      <c r="CX224" s="1175"/>
      <c r="CY224" s="1175"/>
      <c r="CZ224" s="1175"/>
      <c r="DA224" s="1175"/>
      <c r="DB224" s="1175"/>
      <c r="DC224" s="1175"/>
      <c r="DD224" s="1175"/>
      <c r="DE224" s="1175"/>
      <c r="DF224" s="1175"/>
      <c r="DG224" s="1175"/>
      <c r="DH224" s="1175"/>
      <c r="DI224" s="1175"/>
      <c r="DJ224" s="1175"/>
      <c r="DK224" s="1175"/>
      <c r="DL224" s="1175"/>
      <c r="DM224" s="1175"/>
      <c r="DN224" s="1175"/>
      <c r="DO224" s="1175"/>
      <c r="DP224" s="1175"/>
      <c r="DQ224" s="1175"/>
      <c r="DR224" s="1175"/>
      <c r="DS224" s="1175"/>
    </row>
    <row r="225" spans="5:123" s="1187" customFormat="1" ht="18" customHeight="1" x14ac:dyDescent="0.3">
      <c r="E225" s="1175"/>
      <c r="F225" s="1175"/>
      <c r="G225" s="1175"/>
      <c r="H225" s="1175"/>
      <c r="I225" s="1175"/>
      <c r="J225" s="1175"/>
      <c r="K225" s="1175"/>
      <c r="L225" s="1175"/>
      <c r="M225" s="1175"/>
      <c r="N225" s="1175"/>
      <c r="O225" s="1175"/>
      <c r="P225" s="1175"/>
      <c r="Q225" s="1175"/>
      <c r="R225" s="1175"/>
      <c r="S225" s="1175"/>
      <c r="T225" s="1175"/>
      <c r="U225" s="1175"/>
      <c r="V225" s="1175"/>
      <c r="W225" s="1175"/>
      <c r="X225" s="1175"/>
      <c r="Y225" s="1175"/>
      <c r="Z225" s="1175"/>
      <c r="AA225" s="1175"/>
      <c r="AB225" s="1175"/>
      <c r="AC225" s="1175"/>
      <c r="AD225" s="1175"/>
      <c r="AE225" s="1175"/>
      <c r="AF225" s="1175"/>
      <c r="AG225" s="1175"/>
      <c r="AH225" s="1175"/>
      <c r="AI225" s="1175"/>
      <c r="AJ225" s="1175"/>
      <c r="AK225" s="1175"/>
      <c r="AL225" s="1175"/>
      <c r="AM225" s="1175"/>
      <c r="AN225" s="1175"/>
      <c r="AO225" s="1175"/>
      <c r="AP225" s="1175"/>
      <c r="AQ225" s="1175"/>
      <c r="AR225" s="1175"/>
      <c r="AS225" s="1175"/>
      <c r="AT225" s="1175"/>
      <c r="AU225" s="1175"/>
      <c r="AV225" s="1175"/>
      <c r="AW225" s="1175"/>
      <c r="AX225" s="1175"/>
      <c r="AY225" s="1175"/>
      <c r="AZ225" s="1175"/>
      <c r="BA225" s="1175"/>
      <c r="BB225" s="1175"/>
      <c r="BC225" s="1175"/>
      <c r="BD225" s="1175"/>
      <c r="BE225" s="1175"/>
      <c r="BF225" s="1175"/>
      <c r="BG225" s="1175"/>
      <c r="BH225" s="1175"/>
      <c r="BI225" s="1175"/>
      <c r="BJ225" s="1175"/>
      <c r="BK225" s="1175"/>
      <c r="BL225" s="1175"/>
      <c r="BM225" s="1175"/>
      <c r="BN225" s="1175"/>
      <c r="BO225" s="1175"/>
      <c r="BP225" s="1175"/>
      <c r="BQ225" s="1175"/>
      <c r="BR225" s="1175"/>
      <c r="BS225" s="1175"/>
      <c r="BT225" s="1175"/>
      <c r="BU225" s="1175"/>
      <c r="BV225" s="1175"/>
      <c r="BW225" s="1175"/>
      <c r="BX225" s="1175"/>
      <c r="BY225" s="1175"/>
      <c r="BZ225" s="1175"/>
      <c r="CA225" s="1175"/>
      <c r="CB225" s="1175"/>
      <c r="CC225" s="1175"/>
      <c r="CD225" s="1175"/>
      <c r="CE225" s="1175"/>
      <c r="CF225" s="1175"/>
      <c r="CG225" s="1175"/>
      <c r="CH225" s="1175"/>
      <c r="CI225" s="1175"/>
      <c r="CJ225" s="1175"/>
      <c r="CK225" s="1175"/>
      <c r="CL225" s="1175"/>
      <c r="CM225" s="1175"/>
      <c r="CN225" s="1175"/>
      <c r="CO225" s="1175"/>
      <c r="CP225" s="1175"/>
      <c r="CQ225" s="1175"/>
      <c r="CR225" s="1175"/>
      <c r="CS225" s="1175"/>
      <c r="CT225" s="1175"/>
      <c r="CU225" s="1175"/>
      <c r="CV225" s="1175"/>
      <c r="CW225" s="1175"/>
      <c r="CX225" s="1175"/>
      <c r="CY225" s="1175"/>
      <c r="CZ225" s="1175"/>
      <c r="DA225" s="1175"/>
      <c r="DB225" s="1175"/>
      <c r="DC225" s="1175"/>
      <c r="DD225" s="1175"/>
      <c r="DE225" s="1175"/>
      <c r="DF225" s="1175"/>
      <c r="DG225" s="1175"/>
      <c r="DH225" s="1175"/>
      <c r="DI225" s="1175"/>
      <c r="DJ225" s="1175"/>
      <c r="DK225" s="1175"/>
      <c r="DL225" s="1175"/>
      <c r="DM225" s="1175"/>
      <c r="DN225" s="1175"/>
      <c r="DO225" s="1175"/>
      <c r="DP225" s="1175"/>
      <c r="DQ225" s="1175"/>
      <c r="DR225" s="1175"/>
      <c r="DS225" s="1175"/>
    </row>
    <row r="226" spans="5:123" s="1187" customFormat="1" ht="18" customHeight="1" x14ac:dyDescent="0.3"/>
    <row r="227" spans="5:123" s="1187" customFormat="1" ht="18" customHeight="1" x14ac:dyDescent="0.3"/>
    <row r="228" spans="5:123" s="1187" customFormat="1" ht="18" customHeight="1" x14ac:dyDescent="0.3"/>
    <row r="229" spans="5:123" s="1187" customFormat="1" ht="18" customHeight="1" x14ac:dyDescent="0.3"/>
    <row r="230" spans="5:123" s="1187" customFormat="1" ht="18" customHeight="1" x14ac:dyDescent="0.3"/>
    <row r="231" spans="5:123" s="1187" customFormat="1" ht="18" customHeight="1" x14ac:dyDescent="0.3"/>
    <row r="232" spans="5:123" s="1187" customFormat="1" ht="18" customHeight="1" x14ac:dyDescent="0.3"/>
    <row r="233" spans="5:123" s="1187" customFormat="1" ht="18" customHeight="1" x14ac:dyDescent="0.3"/>
    <row r="234" spans="5:123" s="1187" customFormat="1" ht="18" customHeight="1" x14ac:dyDescent="0.3"/>
    <row r="235" spans="5:123" s="1187" customFormat="1" ht="18" customHeight="1" x14ac:dyDescent="0.3"/>
    <row r="236" spans="5:123" s="1187" customFormat="1" ht="18" customHeight="1" x14ac:dyDescent="0.3"/>
    <row r="237" spans="5:123" s="1187" customFormat="1" ht="18" customHeight="1" x14ac:dyDescent="0.3"/>
    <row r="238" spans="5:123" s="1187" customFormat="1" ht="18" customHeight="1" x14ac:dyDescent="0.3"/>
    <row r="239" spans="5:123" s="1187" customFormat="1" ht="18" customHeight="1" x14ac:dyDescent="0.3"/>
    <row r="240" spans="5:123" s="1187" customFormat="1" ht="18" customHeight="1" x14ac:dyDescent="0.3"/>
    <row r="241" s="1187" customFormat="1" ht="18" customHeight="1" x14ac:dyDescent="0.3"/>
    <row r="242" s="1187" customFormat="1" ht="18" customHeight="1" x14ac:dyDescent="0.3"/>
    <row r="243" s="1187" customFormat="1" ht="18" customHeight="1" x14ac:dyDescent="0.3"/>
    <row r="244" s="1187" customFormat="1" ht="18" customHeight="1" x14ac:dyDescent="0.3"/>
    <row r="245" s="1187" customFormat="1" ht="18" customHeight="1" x14ac:dyDescent="0.3"/>
    <row r="246" s="1187" customFormat="1" ht="15" customHeight="1" x14ac:dyDescent="0.3"/>
    <row r="247" s="1187" customFormat="1" ht="15" customHeight="1" x14ac:dyDescent="0.3"/>
    <row r="248" s="1187" customFormat="1" ht="15" customHeight="1" x14ac:dyDescent="0.3"/>
    <row r="249" s="1187" customFormat="1" ht="15" customHeight="1" x14ac:dyDescent="0.3"/>
    <row r="250" s="1187" customFormat="1" ht="15" customHeight="1" x14ac:dyDescent="0.3"/>
    <row r="251" s="1187" customFormat="1" ht="15" customHeight="1" x14ac:dyDescent="0.3"/>
    <row r="252" s="1187" customFormat="1" ht="15" customHeight="1" x14ac:dyDescent="0.3"/>
    <row r="253" s="1187" customFormat="1" ht="15" customHeight="1" x14ac:dyDescent="0.3"/>
    <row r="254" s="1187" customFormat="1" ht="15" customHeight="1" x14ac:dyDescent="0.3"/>
    <row r="255" s="1187" customFormat="1" ht="15" customHeight="1" x14ac:dyDescent="0.3"/>
    <row r="256" s="1187" customFormat="1" ht="15" customHeight="1" x14ac:dyDescent="0.3"/>
    <row r="257" s="1187" customFormat="1" ht="15" customHeight="1" x14ac:dyDescent="0.3"/>
    <row r="258" s="1187" customFormat="1" ht="15" customHeight="1" x14ac:dyDescent="0.3"/>
    <row r="259" s="1187" customFormat="1" ht="15" customHeight="1" x14ac:dyDescent="0.3"/>
    <row r="260" s="1187" customFormat="1" ht="15" customHeight="1" x14ac:dyDescent="0.3"/>
    <row r="261" s="1187" customFormat="1" ht="15" customHeight="1" x14ac:dyDescent="0.3"/>
    <row r="262" s="1187" customFormat="1" ht="15" customHeight="1" x14ac:dyDescent="0.3"/>
    <row r="263" s="1187" customFormat="1" ht="15" customHeight="1" x14ac:dyDescent="0.3"/>
    <row r="264" s="1187" customFormat="1" ht="15" customHeight="1" x14ac:dyDescent="0.3"/>
    <row r="283" spans="128:130" ht="15" customHeight="1" x14ac:dyDescent="0.3">
      <c r="DX283" s="2529" t="s">
        <v>1104</v>
      </c>
      <c r="DY283" s="2530"/>
      <c r="DZ283" s="2531"/>
    </row>
    <row r="284" spans="128:130" ht="15" customHeight="1" x14ac:dyDescent="0.3">
      <c r="DX284" s="2527" t="s">
        <v>1098</v>
      </c>
      <c r="DY284" s="2528"/>
      <c r="DZ284" s="1188" t="str">
        <f>DZ306</f>
        <v>двусторонний</v>
      </c>
    </row>
    <row r="285" spans="128:130" ht="15" customHeight="1" x14ac:dyDescent="0.3">
      <c r="DX285" s="2527" t="s">
        <v>1105</v>
      </c>
      <c r="DY285" s="2528"/>
      <c r="DZ285" s="1189" t="str">
        <f>DZ307</f>
        <v>Полукруглый Slim GL 100 мм</v>
      </c>
    </row>
    <row r="286" spans="128:130" ht="15" customHeight="1" x14ac:dyDescent="0.3">
      <c r="DX286" s="1190" t="s">
        <v>1106</v>
      </c>
      <c r="DY286" s="1191">
        <f>DZ309</f>
        <v>2490</v>
      </c>
      <c r="DZ286" s="1192" t="str">
        <f>DZ311&amp;" шт"</f>
        <v>128 шт</v>
      </c>
    </row>
    <row r="287" spans="128:130" ht="15" customHeight="1" x14ac:dyDescent="0.3">
      <c r="DX287" s="1190" t="s">
        <v>1106</v>
      </c>
      <c r="DY287" s="1193">
        <f>DZ330</f>
        <v>860</v>
      </c>
      <c r="DZ287" s="1194" t="str">
        <f>DZ332&amp;" шт"</f>
        <v>0 шт</v>
      </c>
    </row>
    <row r="288" spans="128:130" ht="15" customHeight="1" x14ac:dyDescent="0.3">
      <c r="DX288" s="1190" t="s">
        <v>1106</v>
      </c>
      <c r="DY288" s="1195">
        <f>DZ342</f>
        <v>1930</v>
      </c>
      <c r="DZ288" s="1194" t="str">
        <f>EB348&amp;" шт"</f>
        <v>32 шт</v>
      </c>
    </row>
    <row r="289" spans="124:130" ht="15" customHeight="1" x14ac:dyDescent="0.3">
      <c r="DX289" s="1190" t="s">
        <v>1106</v>
      </c>
      <c r="DY289" s="1195">
        <f>DZ343</f>
        <v>1930</v>
      </c>
      <c r="DZ289" s="1194" t="str">
        <f>EC348&amp;" шт"</f>
        <v>32 шт</v>
      </c>
    </row>
    <row r="290" spans="124:130" ht="15" customHeight="1" x14ac:dyDescent="0.3">
      <c r="DX290" s="1190" t="s">
        <v>1106</v>
      </c>
      <c r="DY290" s="1195">
        <f>DZ344</f>
        <v>0</v>
      </c>
      <c r="DZ290" s="1194" t="str">
        <f>ED348&amp;" шт"</f>
        <v>0 шт</v>
      </c>
    </row>
    <row r="291" spans="124:130" ht="15" customHeight="1" x14ac:dyDescent="0.3">
      <c r="DX291" s="2525" t="s">
        <v>1107</v>
      </c>
      <c r="DY291" s="2526"/>
      <c r="DZ291" s="1196" t="str">
        <f>DZ313</f>
        <v>4 шт L= 2500 мм</v>
      </c>
    </row>
    <row r="292" spans="124:130" ht="15" customHeight="1" x14ac:dyDescent="0.3">
      <c r="DX292" s="2523" t="s">
        <v>1108</v>
      </c>
      <c r="DY292" s="1190" t="s">
        <v>1109</v>
      </c>
      <c r="DZ292" s="1196" t="str">
        <f>DZ314</f>
        <v>10 шт L=2000 мм</v>
      </c>
    </row>
    <row r="293" spans="124:130" ht="15" customHeight="1" x14ac:dyDescent="0.3">
      <c r="DX293" s="2524"/>
      <c r="DY293" s="1190" t="s">
        <v>1110</v>
      </c>
      <c r="DZ293" s="1196" t="str">
        <f>DZ315</f>
        <v xml:space="preserve"> - </v>
      </c>
    </row>
    <row r="294" spans="124:130" ht="15" customHeight="1" x14ac:dyDescent="0.3">
      <c r="DX294" s="2532" t="s">
        <v>1111</v>
      </c>
      <c r="DY294" s="1197" t="s">
        <v>1112</v>
      </c>
      <c r="DZ294" s="1196" t="str">
        <f>DZ316</f>
        <v>12 шт L= 2000 мм</v>
      </c>
    </row>
    <row r="295" spans="124:130" ht="15" customHeight="1" x14ac:dyDescent="0.3">
      <c r="DT295" s="1174"/>
      <c r="DU295" s="1174"/>
      <c r="DX295" s="2533"/>
      <c r="DY295" s="1197" t="s">
        <v>1113</v>
      </c>
      <c r="DZ295" s="1196" t="str">
        <f>DZ317</f>
        <v>12 шт L= 2000 мм</v>
      </c>
    </row>
    <row r="296" spans="124:130" ht="15" customHeight="1" x14ac:dyDescent="0.3">
      <c r="DT296" s="1174"/>
      <c r="DU296" s="1174"/>
      <c r="DX296" s="2533"/>
      <c r="DY296" s="1197" t="s">
        <v>1112</v>
      </c>
      <c r="DZ296" s="1198" t="str">
        <f>DZ333</f>
        <v>0 шт L= 1800 мм</v>
      </c>
    </row>
    <row r="297" spans="124:130" ht="15" customHeight="1" x14ac:dyDescent="0.3">
      <c r="DT297" s="1174"/>
      <c r="DU297" s="1174"/>
      <c r="DX297" s="2533"/>
      <c r="DY297" s="1197" t="s">
        <v>1113</v>
      </c>
      <c r="DZ297" s="1198" t="str">
        <f>DZ334</f>
        <v>0 шт L= 1800 мм</v>
      </c>
    </row>
    <row r="298" spans="124:130" ht="15" customHeight="1" x14ac:dyDescent="0.3">
      <c r="DT298" s="1174"/>
      <c r="DU298" s="1174"/>
      <c r="DX298" s="2533"/>
      <c r="DY298" s="1197" t="s">
        <v>1112</v>
      </c>
      <c r="DZ298" s="1198" t="str">
        <f>DZ347</f>
        <v>0 шт L= 2000 мм</v>
      </c>
    </row>
    <row r="299" spans="124:130" ht="15" customHeight="1" x14ac:dyDescent="0.3">
      <c r="DT299" s="1174"/>
      <c r="DU299" s="1174"/>
      <c r="DX299" s="2534"/>
      <c r="DY299" s="1197" t="s">
        <v>1113</v>
      </c>
      <c r="DZ299" s="1196" t="str">
        <f>DZ348</f>
        <v>0 шт L= 2000 мм</v>
      </c>
    </row>
    <row r="300" spans="124:130" ht="15" customHeight="1" x14ac:dyDescent="0.3">
      <c r="DT300" s="1174"/>
      <c r="DU300" s="1174"/>
      <c r="DX300" s="2525" t="s">
        <v>1114</v>
      </c>
      <c r="DY300" s="2526"/>
      <c r="DZ300" s="1199">
        <f>DZ318</f>
        <v>5</v>
      </c>
    </row>
    <row r="301" spans="124:130" ht="15" customHeight="1" x14ac:dyDescent="0.3">
      <c r="DT301" s="1174"/>
      <c r="DU301" s="1174"/>
      <c r="DX301" s="2525" t="s">
        <v>1115</v>
      </c>
      <c r="DY301" s="2526"/>
      <c r="DZ301" s="1196" t="str">
        <f>DZ311*6 + DZ332*4 + DZ346*4&amp;" шт"</f>
        <v>768 шт</v>
      </c>
    </row>
    <row r="302" spans="124:130" ht="15" customHeight="1" x14ac:dyDescent="0.3">
      <c r="DT302" s="1174"/>
      <c r="DU302" s="1174"/>
      <c r="DX302" s="2525" t="s">
        <v>1116</v>
      </c>
      <c r="DY302" s="2526"/>
      <c r="DZ302" s="1196" t="str">
        <f>(DZ312*12+DZ329*12+(IFERROR(VLOOKUP(A16,$DX$365:$EC$381,6,FALSE)*DZ341,0)*12)&amp;" шт")</f>
        <v>48 шт</v>
      </c>
    </row>
    <row r="303" spans="124:130" ht="15" customHeight="1" x14ac:dyDescent="0.3">
      <c r="DT303" s="1174"/>
      <c r="DU303" s="1174"/>
    </row>
    <row r="304" spans="124:130" ht="15" customHeight="1" thickBot="1" x14ac:dyDescent="0.35">
      <c r="DT304" s="1174"/>
      <c r="DU304" s="1174"/>
    </row>
    <row r="305" spans="128:142" ht="15" customHeight="1" x14ac:dyDescent="0.3">
      <c r="DX305" s="2529" t="s">
        <v>1117</v>
      </c>
      <c r="DY305" s="2530"/>
      <c r="DZ305" s="2531"/>
      <c r="EA305" s="1174"/>
      <c r="EB305" s="1200" t="s">
        <v>1118</v>
      </c>
      <c r="EC305" s="1201"/>
      <c r="ED305" s="1201"/>
      <c r="EE305" s="1202"/>
      <c r="EF305" s="1203"/>
      <c r="EG305" s="1204"/>
      <c r="EH305" s="1204"/>
      <c r="EI305" s="1204"/>
      <c r="EJ305" s="1204"/>
      <c r="EK305" s="1204"/>
      <c r="EL305" s="1174"/>
    </row>
    <row r="306" spans="128:142" ht="15" customHeight="1" x14ac:dyDescent="0.3">
      <c r="DX306" s="2527" t="s">
        <v>1098</v>
      </c>
      <c r="DY306" s="2528"/>
      <c r="DZ306" s="1188" t="str">
        <f>B12</f>
        <v>двусторонний</v>
      </c>
      <c r="EA306" s="1174"/>
      <c r="EB306" s="1205"/>
      <c r="EC306" s="1206" t="s">
        <v>1119</v>
      </c>
      <c r="ED306" s="1206" t="s">
        <v>1120</v>
      </c>
      <c r="EE306" s="1207"/>
      <c r="EF306" s="1174"/>
      <c r="EG306" s="1174"/>
      <c r="EH306" s="1174"/>
      <c r="EI306" s="1174"/>
      <c r="EJ306" s="1174"/>
      <c r="EK306" s="1174"/>
      <c r="EL306" s="1174"/>
    </row>
    <row r="307" spans="128:142" ht="15" customHeight="1" x14ac:dyDescent="0.3">
      <c r="DX307" s="2527" t="s">
        <v>1105</v>
      </c>
      <c r="DY307" s="2528"/>
      <c r="DZ307" s="1189" t="str">
        <f>CONCATENATE(A10," ",EC384," мм")</f>
        <v>Полукруглый Slim GL 100 мм</v>
      </c>
      <c r="EA307" s="1174"/>
      <c r="EB307" s="1205" t="s">
        <v>1121</v>
      </c>
      <c r="EC307" s="1208">
        <f>CEILING((B9-50-EC384)/(EC384+B11)+1,1)</f>
        <v>16</v>
      </c>
      <c r="ED307" s="1209">
        <f>CEILING((EC307*DZ312),1)</f>
        <v>64</v>
      </c>
      <c r="EE307" s="1210"/>
      <c r="EF307" s="1211" t="str">
        <f>CONCATENATE("расчетный промежуток м/у штакет ",ROUND((B9-50-(EC307*EC384))/(EC307-1),0)," мм")</f>
        <v>расчетный промежуток м/у штакет 23 мм</v>
      </c>
      <c r="EG307" s="1211"/>
      <c r="EH307" s="1211"/>
      <c r="EI307" s="1212"/>
      <c r="EJ307" s="1213">
        <f>ROUND((B9-50-(EC307*EC384))/(EC307-1),1)</f>
        <v>23.3</v>
      </c>
      <c r="EK307" s="1212"/>
      <c r="EL307" s="1174"/>
    </row>
    <row r="308" spans="128:142" ht="15" customHeight="1" x14ac:dyDescent="0.3">
      <c r="DX308" s="2525" t="s">
        <v>1092</v>
      </c>
      <c r="DY308" s="2526"/>
      <c r="DZ308" s="1214">
        <f>B7</f>
        <v>10</v>
      </c>
      <c r="EA308" s="1174"/>
      <c r="EB308" s="1205" t="s">
        <v>1099</v>
      </c>
      <c r="EC308" s="1208">
        <f>CEILING((B9-50-EC384)/(EC384+B11)+1,1)*2</f>
        <v>32</v>
      </c>
      <c r="ED308" s="1208">
        <f>CEILING((EC308*DZ312),1)</f>
        <v>128</v>
      </c>
      <c r="EE308" s="1210"/>
      <c r="EF308" s="1211" t="str">
        <f>CONCATENATE("расчетный промежуток м/у штакет ",ROUND((B9-50-(EC307*EC384))/(EC307-1),0)," мм")</f>
        <v>расчетный промежуток м/у штакет 23 мм</v>
      </c>
      <c r="EG308" s="1211"/>
      <c r="EH308" s="1211"/>
      <c r="EI308" s="1212"/>
      <c r="EJ308" s="1213">
        <f>ROUND((B9-50-(EC307*EC384))/(EC307-1),1)</f>
        <v>23.3</v>
      </c>
      <c r="EK308" s="1212"/>
      <c r="EL308" s="1174"/>
    </row>
    <row r="309" spans="128:142" ht="15" customHeight="1" x14ac:dyDescent="0.3">
      <c r="DX309" s="2525" t="s">
        <v>1106</v>
      </c>
      <c r="DY309" s="2526"/>
      <c r="DZ309" s="1191">
        <f>B8-10</f>
        <v>2490</v>
      </c>
      <c r="EA309" s="1174"/>
      <c r="EB309" s="1205" t="s">
        <v>1122</v>
      </c>
      <c r="EC309" s="1208">
        <f>CEILING((B9-50-EC384)/(EC384+B11)+1,1)</f>
        <v>16</v>
      </c>
      <c r="ED309" s="1208">
        <f>CEILING((INT(EC309)*DZ312),1)</f>
        <v>64</v>
      </c>
      <c r="EE309" s="1210"/>
      <c r="EF309" s="1211" t="str">
        <f>CONCATENATE("расчетный промежуток м/у штакет ",ROUND((B9-50-(EC309*EC384))/(EC309-1),0)," мм")</f>
        <v>расчетный промежуток м/у штакет 23 мм</v>
      </c>
      <c r="EG309" s="1211"/>
      <c r="EH309" s="1211"/>
      <c r="EI309" s="1212"/>
      <c r="EJ309" s="1213">
        <f>ROUND((B9-50-(EC309*EC384))/(EC309-1),1)</f>
        <v>23.3</v>
      </c>
      <c r="EK309" s="1212"/>
      <c r="EL309" s="1174"/>
    </row>
    <row r="310" spans="128:142" ht="15" customHeight="1" thickBot="1" x14ac:dyDescent="0.35">
      <c r="DX310" s="2525" t="s">
        <v>1123</v>
      </c>
      <c r="DY310" s="2526"/>
      <c r="DZ310" s="1191">
        <f>IF(DZ306="шахматка",EC309+EC310,VLOOKUP(DZ306,$EB$307:$ED$308,2,FALSE))</f>
        <v>32</v>
      </c>
      <c r="EA310" s="1174"/>
      <c r="EB310" s="1215" t="s">
        <v>1124</v>
      </c>
      <c r="EC310" s="1216">
        <f>CEILING((B9-50-EC384)/(EC384+B11),1)</f>
        <v>15</v>
      </c>
      <c r="ED310" s="1216">
        <f>CEILING((INT(EC310)*DZ312),1)</f>
        <v>60</v>
      </c>
      <c r="EE310" s="1217">
        <f>ED309+ED310</f>
        <v>124</v>
      </c>
      <c r="EF310" s="1211" t="str">
        <f>CONCATENATE("расчетный промежуток м/у штакет ",ROUND((B9-50-(EC310*EC384))/(EC310-1),0)," мм")</f>
        <v>расчетный промежуток м/у штакет 32 мм</v>
      </c>
      <c r="EG310" s="1211"/>
      <c r="EH310" s="1211"/>
      <c r="EI310" s="1212">
        <f>B9-(EC310*(EC384+EJ310)-EK310*2)</f>
        <v>148.5</v>
      </c>
      <c r="EJ310" s="1213">
        <f>ROUND((B9-50-(EC310*EC384))/(EC310-1),1)</f>
        <v>32.1</v>
      </c>
      <c r="EK310" s="1212">
        <f>(EC384+B11)/2</f>
        <v>65</v>
      </c>
      <c r="EL310" s="1174"/>
    </row>
    <row r="311" spans="128:142" ht="15" customHeight="1" x14ac:dyDescent="0.3">
      <c r="DX311" s="2525" t="s">
        <v>1125</v>
      </c>
      <c r="DY311" s="2526"/>
      <c r="DZ311" s="1191">
        <f>IF(DZ306="шахматка",EE310,VLOOKUP(DZ306,$EB$307:$ED$308,3,FALSE))</f>
        <v>128</v>
      </c>
      <c r="EA311" s="1218"/>
      <c r="EF311" s="1174"/>
      <c r="EG311" s="1174"/>
      <c r="EH311" s="1174"/>
      <c r="EI311" s="1174"/>
      <c r="EJ311" s="1174"/>
      <c r="EK311" s="1174"/>
      <c r="EL311" s="1174"/>
    </row>
    <row r="312" spans="128:142" ht="15" customHeight="1" x14ac:dyDescent="0.3">
      <c r="DX312" s="2525" t="s">
        <v>1126</v>
      </c>
      <c r="DY312" s="2526"/>
      <c r="DZ312" s="1191">
        <f>ROUNDUP(B7/B8*1000,0)</f>
        <v>4</v>
      </c>
      <c r="EA312" s="1218"/>
      <c r="EF312" s="1174"/>
      <c r="EG312" s="1174"/>
      <c r="EH312" s="1174"/>
      <c r="EI312" s="1174"/>
      <c r="EJ312" s="1174"/>
      <c r="EK312" s="1174"/>
      <c r="EL312" s="1174"/>
    </row>
    <row r="313" spans="128:142" ht="15" customHeight="1" x14ac:dyDescent="0.3">
      <c r="DX313" s="2525" t="s">
        <v>1107</v>
      </c>
      <c r="DY313" s="2526"/>
      <c r="DZ313" s="1196" t="str">
        <f>CONCATENATE((CEILING(DZ308/B8*1000,1))," шт"," L= ",IF(B8&lt;=2000,2000,IF(AND(B8&gt;2001,B8&lt;=2500),2500,3000))," мм")</f>
        <v>4 шт L= 2500 мм</v>
      </c>
      <c r="EA313" s="1174"/>
    </row>
    <row r="314" spans="128:142" ht="15" customHeight="1" x14ac:dyDescent="0.3">
      <c r="DX314" s="2523" t="s">
        <v>1108</v>
      </c>
      <c r="DY314" s="1190" t="s">
        <v>1109</v>
      </c>
      <c r="DZ314" s="1196" t="str">
        <f>CONCATENATE((ROUNDUP(DZ318,0)*2)," шт"," L=",IF(B9&lt;=2000,2000,IF(AND(B9&gt;2001,B9&lt;=2500),2500,3000))," мм")</f>
        <v>10 шт L=2000 мм</v>
      </c>
      <c r="EA314" s="1174"/>
      <c r="EC314" s="1219"/>
    </row>
    <row r="315" spans="128:142" ht="15" customHeight="1" x14ac:dyDescent="0.3">
      <c r="DX315" s="2524"/>
      <c r="DY315" s="1190" t="s">
        <v>1110</v>
      </c>
      <c r="DZ315" s="1196" t="str">
        <f>IF(B13=0," - ",CONCATENATE(B13*2," шт"," L= ",IF(B9&lt;=2000,2000,IF(AND(B9&gt;2001,B9&lt;=2500),2500,3000))," мм"))</f>
        <v xml:space="preserve"> - </v>
      </c>
      <c r="EA315" s="1174"/>
    </row>
    <row r="316" spans="128:142" ht="15" customHeight="1" x14ac:dyDescent="0.3">
      <c r="DX316" s="2523" t="s">
        <v>1111</v>
      </c>
      <c r="DY316" s="1197" t="s">
        <v>1112</v>
      </c>
      <c r="DZ316" s="1198" t="str">
        <f>CONCATENATE((CEILING(DZ312*3,1))," шт"," L= ",IF(B9&lt;=2000,2000,IF(AND(B9&gt;2001,B9&lt;=2500),2500,3000))," мм")</f>
        <v>12 шт L= 2000 мм</v>
      </c>
      <c r="EA316" s="1174"/>
    </row>
    <row r="317" spans="128:142" ht="15" customHeight="1" x14ac:dyDescent="0.3">
      <c r="DX317" s="2524"/>
      <c r="DY317" s="1197" t="s">
        <v>1113</v>
      </c>
      <c r="DZ317" s="1196" t="str">
        <f>CONCATENATE((CEILING(DZ312*3,1))," шт"," L= ",IF(B9&lt;=2000,2000,IF(AND(B9&gt;2001,B9&lt;=2500),2500,3000))," мм")</f>
        <v>12 шт L= 2000 мм</v>
      </c>
      <c r="EA317" s="1174"/>
    </row>
    <row r="318" spans="128:142" ht="15" customHeight="1" x14ac:dyDescent="0.3">
      <c r="DX318" s="2525" t="s">
        <v>1114</v>
      </c>
      <c r="DY318" s="2526"/>
      <c r="DZ318" s="1199">
        <f>DZ308/B8*1000+1</f>
        <v>5</v>
      </c>
      <c r="EA318" s="1174"/>
    </row>
    <row r="319" spans="128:142" ht="15" customHeight="1" x14ac:dyDescent="0.3">
      <c r="DX319" s="2525" t="s">
        <v>1115</v>
      </c>
      <c r="DY319" s="2526"/>
      <c r="DZ319" s="1196" t="str">
        <f>DZ311*6&amp;" шт"</f>
        <v>768 шт</v>
      </c>
      <c r="EA319" s="1174"/>
    </row>
    <row r="320" spans="128:142" ht="15" customHeight="1" x14ac:dyDescent="0.3">
      <c r="DX320" s="2525" t="s">
        <v>1116</v>
      </c>
      <c r="DY320" s="2526"/>
      <c r="DZ320" s="1196" t="str">
        <f>DZ312*12&amp;" шт"</f>
        <v>48 шт</v>
      </c>
      <c r="EA320" s="1174"/>
    </row>
    <row r="321" spans="124:135" ht="15" customHeight="1" x14ac:dyDescent="0.3">
      <c r="EA321" s="1174"/>
    </row>
    <row r="322" spans="124:135" ht="15" customHeight="1" x14ac:dyDescent="0.3">
      <c r="DX322" s="2529" t="s">
        <v>1127</v>
      </c>
      <c r="DY322" s="2530"/>
      <c r="DZ322" s="2531"/>
      <c r="EA322" s="1174"/>
    </row>
    <row r="323" spans="124:135" ht="15" customHeight="1" x14ac:dyDescent="0.3">
      <c r="DX323" s="2527" t="s">
        <v>1128</v>
      </c>
      <c r="DY323" s="2528"/>
      <c r="DZ323" s="1196" t="s">
        <v>218</v>
      </c>
      <c r="EA323" s="1174"/>
    </row>
    <row r="324" spans="124:135" ht="15" customHeight="1" x14ac:dyDescent="0.3">
      <c r="DX324" s="2527" t="s">
        <v>1129</v>
      </c>
      <c r="DY324" s="2528"/>
      <c r="DZ324" s="1196" t="s">
        <v>218</v>
      </c>
    </row>
    <row r="325" spans="124:135" ht="15" customHeight="1" thickBot="1" x14ac:dyDescent="0.35"/>
    <row r="326" spans="124:135" ht="15" customHeight="1" x14ac:dyDescent="0.3">
      <c r="DX326" s="2529" t="s">
        <v>1130</v>
      </c>
      <c r="DY326" s="2530"/>
      <c r="DZ326" s="2531"/>
      <c r="EB326" s="1200" t="s">
        <v>1118</v>
      </c>
      <c r="EC326" s="1201"/>
      <c r="ED326" s="1201"/>
      <c r="EE326" s="1202"/>
    </row>
    <row r="327" spans="124:135" ht="15" customHeight="1" x14ac:dyDescent="0.3">
      <c r="DT327" s="1174"/>
      <c r="DU327" s="1174"/>
      <c r="DX327" s="2527" t="s">
        <v>1098</v>
      </c>
      <c r="DY327" s="2528"/>
      <c r="DZ327" s="1188" t="str">
        <f>B12</f>
        <v>двусторонний</v>
      </c>
      <c r="EB327" s="1205"/>
      <c r="EC327" s="1206" t="s">
        <v>1131</v>
      </c>
      <c r="ED327" s="1206" t="s">
        <v>1120</v>
      </c>
      <c r="EE327" s="1207"/>
    </row>
    <row r="328" spans="124:135" ht="15" customHeight="1" x14ac:dyDescent="0.3">
      <c r="DT328" s="1174"/>
      <c r="DU328" s="1174"/>
      <c r="DX328" s="2527" t="s">
        <v>1105</v>
      </c>
      <c r="DY328" s="2528"/>
      <c r="DZ328" s="1189" t="str">
        <f>CONCATENATE($A$10," ",$EC$384," мм")</f>
        <v>Полукруглый Slim GL 100 мм</v>
      </c>
      <c r="EB328" s="1205" t="s">
        <v>1121</v>
      </c>
      <c r="EC328" s="1208">
        <f>CEILING((EA330-50-$EC$384)/($EC$384+B11)+1,1)</f>
        <v>14</v>
      </c>
      <c r="ED328" s="1209">
        <f>CEILING((EC328*DZ329),1)</f>
        <v>0</v>
      </c>
      <c r="EE328" s="1210"/>
    </row>
    <row r="329" spans="124:135" ht="15" customHeight="1" x14ac:dyDescent="0.3">
      <c r="DT329" s="1174"/>
      <c r="DU329" s="1174"/>
      <c r="DX329" s="2525" t="str">
        <f>IF(A15=DX355,"Кол-во калиток, шт",CONCATENATE(A15,", шт"))</f>
        <v>Калитка 1,68м х 1,0м, шт</v>
      </c>
      <c r="DY329" s="2526"/>
      <c r="DZ329" s="1191">
        <f>B15</f>
        <v>0</v>
      </c>
      <c r="EB329" s="1205" t="s">
        <v>1099</v>
      </c>
      <c r="EC329" s="1208">
        <f>CEILING((EA330-50-$EC$384)/($EC$384+B11)+1,1)*2</f>
        <v>28</v>
      </c>
      <c r="ED329" s="1208">
        <f>CEILING((EC329*DZ329),1)</f>
        <v>0</v>
      </c>
      <c r="EE329" s="1210"/>
    </row>
    <row r="330" spans="124:135" ht="15" customHeight="1" x14ac:dyDescent="0.3">
      <c r="DX330" s="2525" t="s">
        <v>1106</v>
      </c>
      <c r="DY330" s="2526"/>
      <c r="DZ330" s="1191">
        <f>IFERROR(VLOOKUP(A15,$DX$356:$DZ$361,2,FALSE),0)</f>
        <v>860</v>
      </c>
      <c r="EA330" s="1172">
        <f>IFERROR(VLOOKUP(A15,$DX$356:$EA$361,4,FALSE),0)</f>
        <v>1800</v>
      </c>
      <c r="EB330" s="1205" t="s">
        <v>1122</v>
      </c>
      <c r="EC330" s="1208">
        <f>CEILING((EA330-50-$EC$384)/($EC$384+B11)+1,1)</f>
        <v>14</v>
      </c>
      <c r="ED330" s="1208">
        <f>CEILING((INT(EC330)*DZ329),1)</f>
        <v>0</v>
      </c>
      <c r="EE330" s="1210"/>
    </row>
    <row r="331" spans="124:135" ht="15" customHeight="1" thickBot="1" x14ac:dyDescent="0.35">
      <c r="DX331" s="2525" t="s">
        <v>1132</v>
      </c>
      <c r="DY331" s="2526"/>
      <c r="DZ331" s="1191">
        <f>IF(DZ327="шахматка",EC330+EC331,VLOOKUP(DZ327,$EB$328:$ED$329,2,FALSE))</f>
        <v>28</v>
      </c>
      <c r="EB331" s="1215" t="s">
        <v>1124</v>
      </c>
      <c r="EC331" s="1216">
        <f>IF(EA330=0,0,CEILING((EA330-50-$EC$384)/($EC$384+B11),1))</f>
        <v>13</v>
      </c>
      <c r="ED331" s="1216">
        <f>CEILING((INT(EC331)*DZ329),1)</f>
        <v>0</v>
      </c>
      <c r="EE331" s="1217">
        <f>ED330+ED331</f>
        <v>0</v>
      </c>
    </row>
    <row r="332" spans="124:135" ht="15" customHeight="1" x14ac:dyDescent="0.3">
      <c r="DX332" s="2525" t="s">
        <v>1125</v>
      </c>
      <c r="DY332" s="2526"/>
      <c r="DZ332" s="1191">
        <f>IF(DZ327="шахматка",EE331,VLOOKUP(DZ327,$EB$328:$ED$329,3,FALSE))</f>
        <v>0</v>
      </c>
    </row>
    <row r="333" spans="124:135" ht="15" customHeight="1" x14ac:dyDescent="0.3">
      <c r="DX333" s="2523" t="s">
        <v>1111</v>
      </c>
      <c r="DY333" s="1197" t="s">
        <v>1112</v>
      </c>
      <c r="DZ333" s="1198" t="str">
        <f>CONCATENATE((CEILING(DZ329*2,1))," шт"," L= ",EA330," мм")</f>
        <v>0 шт L= 1800 мм</v>
      </c>
    </row>
    <row r="334" spans="124:135" ht="15" customHeight="1" x14ac:dyDescent="0.3">
      <c r="DX334" s="2524"/>
      <c r="DY334" s="1197" t="s">
        <v>1113</v>
      </c>
      <c r="DZ334" s="1196" t="str">
        <f>CONCATENATE((CEILING(DZ329*2,1))," шт"," L= ",EA330," мм")</f>
        <v>0 шт L= 1800 мм</v>
      </c>
    </row>
    <row r="335" spans="124:135" ht="15" customHeight="1" x14ac:dyDescent="0.3">
      <c r="DX335" s="2525" t="s">
        <v>1115</v>
      </c>
      <c r="DY335" s="2526"/>
      <c r="DZ335" s="1196" t="str">
        <f>DZ332*4&amp;" шт"</f>
        <v>0 шт</v>
      </c>
    </row>
    <row r="336" spans="124:135" ht="15" customHeight="1" x14ac:dyDescent="0.3">
      <c r="DX336" s="2525" t="s">
        <v>1116</v>
      </c>
      <c r="DY336" s="2526"/>
      <c r="DZ336" s="1196" t="str">
        <f>DZ329*12&amp;" шт"</f>
        <v>0 шт</v>
      </c>
    </row>
    <row r="337" spans="128:142" ht="15" customHeight="1" thickBot="1" x14ac:dyDescent="0.35"/>
    <row r="338" spans="128:142" ht="15" customHeight="1" x14ac:dyDescent="0.3">
      <c r="DX338" s="2529" t="s">
        <v>1133</v>
      </c>
      <c r="DY338" s="2530"/>
      <c r="DZ338" s="2531"/>
      <c r="EB338" s="1200" t="s">
        <v>1134</v>
      </c>
      <c r="EC338" s="1201"/>
      <c r="ED338" s="1201"/>
      <c r="EE338" s="1201"/>
      <c r="EF338" s="1201"/>
      <c r="EG338" s="1202"/>
      <c r="EH338" s="1174"/>
      <c r="EI338" s="1174"/>
      <c r="EJ338" s="1174"/>
      <c r="EK338" s="1174"/>
      <c r="EL338" s="1174"/>
    </row>
    <row r="339" spans="128:142" ht="15" customHeight="1" x14ac:dyDescent="0.3">
      <c r="DX339" s="2527" t="s">
        <v>1098</v>
      </c>
      <c r="DY339" s="2528"/>
      <c r="DZ339" s="1188" t="str">
        <f>B12</f>
        <v>двусторонний</v>
      </c>
      <c r="EB339" s="1205"/>
      <c r="EC339" s="1206" t="s">
        <v>1135</v>
      </c>
      <c r="ED339" s="1206" t="s">
        <v>1136</v>
      </c>
      <c r="EE339" s="1206" t="s">
        <v>1137</v>
      </c>
      <c r="EF339" s="1206" t="s">
        <v>1120</v>
      </c>
      <c r="EG339" s="1207"/>
      <c r="EH339" s="1174"/>
      <c r="EI339" s="1174"/>
      <c r="EJ339" s="1174"/>
      <c r="EK339" s="1174"/>
      <c r="EL339" s="1174"/>
    </row>
    <row r="340" spans="128:142" ht="15" customHeight="1" x14ac:dyDescent="0.3">
      <c r="DX340" s="2527" t="s">
        <v>1105</v>
      </c>
      <c r="DY340" s="2528"/>
      <c r="DZ340" s="1189" t="str">
        <f>CONCATENATE($A$10," ",$EC$384," мм")</f>
        <v>Полукруглый Slim GL 100 мм</v>
      </c>
      <c r="EB340" s="1205" t="s">
        <v>1121</v>
      </c>
      <c r="EC340" s="1208">
        <f>CEILING(($EA$342-50-$EC$384)/($EC$384+$B$11)+1,1)</f>
        <v>16</v>
      </c>
      <c r="ED340" s="1208">
        <f>CEILING(($EA$343-50-$EC$384)/($EC$384+$B$11)+1,1)</f>
        <v>16</v>
      </c>
      <c r="EE340" s="1208">
        <f>CEILING(($EA$344-50-$EC$384)/($EC$384+$B$11)+1,1)</f>
        <v>0</v>
      </c>
      <c r="EF340" s="1209">
        <f>CEILING(((EC340+ED340+EE340)*DZ341),1)</f>
        <v>0</v>
      </c>
      <c r="EG340" s="1210"/>
      <c r="EH340" s="1174"/>
      <c r="EI340" s="1174"/>
      <c r="EJ340" s="1174"/>
      <c r="EK340" s="1174"/>
      <c r="EL340" s="1174"/>
    </row>
    <row r="341" spans="128:142" ht="15" customHeight="1" x14ac:dyDescent="0.3">
      <c r="DX341" s="2525" t="str">
        <f>IF(A16=DX364,"Кол-во ворот, шт",CONCATENATE(A16,", шт"))</f>
        <v>Ворота откатные 2м х 4м, шт</v>
      </c>
      <c r="DY341" s="2526"/>
      <c r="DZ341" s="1191">
        <f>B16</f>
        <v>0</v>
      </c>
      <c r="EB341" s="1205" t="s">
        <v>1099</v>
      </c>
      <c r="EC341" s="1208">
        <f>CEILING(($EA$342-50-$EC$384)/($EC$384+$B$11)+1,1)*2</f>
        <v>32</v>
      </c>
      <c r="ED341" s="1208">
        <f>CEILING(($EA$343-50-$EC$384)/($EC$384+$B$11)+1,1)*2</f>
        <v>32</v>
      </c>
      <c r="EE341" s="1208">
        <f>CEILING(($EA$344-50-$EC$384)/($EC$384+$B$11)+1,1)*2</f>
        <v>0</v>
      </c>
      <c r="EF341" s="1208">
        <f>CEILING(((EC341+ED341+EE341)*DZ341),1)</f>
        <v>0</v>
      </c>
      <c r="EG341" s="1210"/>
      <c r="EH341" s="1174"/>
      <c r="EI341" s="1174"/>
      <c r="EJ341" s="1174"/>
      <c r="EK341" s="1174"/>
      <c r="EL341" s="1174"/>
    </row>
    <row r="342" spans="128:142" ht="15" customHeight="1" x14ac:dyDescent="0.3">
      <c r="DX342" s="2525" t="s">
        <v>1138</v>
      </c>
      <c r="DY342" s="2526"/>
      <c r="DZ342" s="1214">
        <f>IFERROR(VLOOKUP($A$16,$DX$365:$EA$381,2,FALSE),0)</f>
        <v>1930</v>
      </c>
      <c r="EA342" s="1172">
        <f>IFERROR(VLOOKUP($A$16,$DX$365:$ED$381,7,FALSE),0)</f>
        <v>2000</v>
      </c>
      <c r="EB342" s="1205" t="s">
        <v>1122</v>
      </c>
      <c r="EC342" s="1208">
        <f>CEILING(($EA$342-50-$EC$384)/($EC$384+$B$11)+1,1)</f>
        <v>16</v>
      </c>
      <c r="ED342" s="1208">
        <f>CEILING(($EA$343-50-$EC$384)/($EC$384+$B$11)+1,1)</f>
        <v>16</v>
      </c>
      <c r="EE342" s="1208">
        <f>CEILING(($EA$344-50-$EC$384)/($EC$384+$B$11)+1,1)</f>
        <v>0</v>
      </c>
      <c r="EF342" s="1208">
        <f>CEILING((INT(EC342+ED342+EE342)*DZ341),1)</f>
        <v>0</v>
      </c>
      <c r="EG342" s="1210"/>
      <c r="EH342" s="1174"/>
      <c r="EI342" s="1174"/>
      <c r="EJ342" s="1174"/>
      <c r="EK342" s="1174"/>
      <c r="EL342" s="1174"/>
    </row>
    <row r="343" spans="128:142" ht="15" customHeight="1" thickBot="1" x14ac:dyDescent="0.35">
      <c r="DX343" s="2525" t="s">
        <v>1139</v>
      </c>
      <c r="DY343" s="2526"/>
      <c r="DZ343" s="1214">
        <f>IFERROR(VLOOKUP($A$16,$DX$365:$EA$381,3,FALSE),0)</f>
        <v>1930</v>
      </c>
      <c r="EA343" s="1172">
        <f>IFERROR(IF(DZ343=0,0,VLOOKUP($A$16,$DX$365:$ED$381,7,FALSE)),0)</f>
        <v>2000</v>
      </c>
      <c r="EB343" s="1215" t="s">
        <v>1124</v>
      </c>
      <c r="EC343" s="1216">
        <f>IF(EA342=0,0,CEILING(($EA$342-50-$EC$384)/($EC$384+$B$11),1))</f>
        <v>15</v>
      </c>
      <c r="ED343" s="1216">
        <f>IF(EA343=0,0,CEILING(($EA$343-50-$EC$384)/($EC$384+$B$11),1))</f>
        <v>15</v>
      </c>
      <c r="EE343" s="1216">
        <f>IF(EA344=0,0,CEILING(($EA$344-50-$EC$384)/($EC$384+$B$11),1))</f>
        <v>0</v>
      </c>
      <c r="EF343" s="1216">
        <f>CEILING((INT(EC343+ED343+EE343)*DZ341),1)</f>
        <v>0</v>
      </c>
      <c r="EG343" s="1217">
        <f>EF342+EF343</f>
        <v>0</v>
      </c>
      <c r="EH343" s="1174"/>
      <c r="EI343" s="1174"/>
      <c r="EJ343" s="1174"/>
      <c r="EK343" s="1174"/>
      <c r="EL343" s="1174"/>
    </row>
    <row r="344" spans="128:142" ht="15" customHeight="1" x14ac:dyDescent="0.3">
      <c r="DX344" s="2525" t="s">
        <v>1140</v>
      </c>
      <c r="DY344" s="2526"/>
      <c r="DZ344" s="1214">
        <f>IF(IFERROR(VLOOKUP($A$16,$DX$365:$EA$381,4,FALSE),0)&lt;0,0,IFERROR(VLOOKUP($A$16,$DX$365:$EA$381,4,FALSE),0))</f>
        <v>0</v>
      </c>
      <c r="EA344" s="1172">
        <f>IFERROR(IF(DZ344=0,0,VLOOKUP($A$16,$DX$365:$EB$381,5,FALSE)),0)</f>
        <v>0</v>
      </c>
    </row>
    <row r="345" spans="128:142" ht="15" customHeight="1" x14ac:dyDescent="0.3">
      <c r="DX345" s="2525" t="s">
        <v>1141</v>
      </c>
      <c r="DY345" s="2526"/>
      <c r="DZ345" s="1191">
        <f>IFERROR(IF(DZ339="шахматка",EG343/DZ341,VLOOKUP(DZ339,$EB$340:$EF$341,5,FALSE)/DZ341),0)</f>
        <v>0</v>
      </c>
    </row>
    <row r="346" spans="128:142" ht="15" customHeight="1" x14ac:dyDescent="0.3">
      <c r="DX346" s="2525" t="s">
        <v>1125</v>
      </c>
      <c r="DY346" s="2526"/>
      <c r="DZ346" s="1191">
        <f>IF(DZ339="шахматка",EG343,VLOOKUP(DZ339,$EB$340:$EF$341,5,FALSE))</f>
        <v>0</v>
      </c>
    </row>
    <row r="347" spans="128:142" ht="15" customHeight="1" x14ac:dyDescent="0.3">
      <c r="DX347" s="2523" t="s">
        <v>1111</v>
      </c>
      <c r="DY347" s="1197" t="s">
        <v>1112</v>
      </c>
      <c r="DZ347" s="1198" t="str">
        <f>IFERROR(CONCATENATE((CEILING(VLOOKUP(A16,$DX$365:$EC$381,6,FALSE)*2,1)*DZ341)," шт"," L= ",EA342," мм"),"0 шт L= 0 мм")</f>
        <v>0 шт L= 2000 мм</v>
      </c>
      <c r="EB347" s="1220" t="s">
        <v>1142</v>
      </c>
    </row>
    <row r="348" spans="128:142" ht="15" customHeight="1" x14ac:dyDescent="0.3">
      <c r="DX348" s="2524"/>
      <c r="DY348" s="1197" t="s">
        <v>1113</v>
      </c>
      <c r="DZ348" s="1196" t="str">
        <f>CONCATENATE((CEILING(VLOOKUP(A16,$DX$365:$EC$381,6)*2,1)*DZ341)," шт"," L= ",EA342," мм")</f>
        <v>0 шт L= 2000 мм</v>
      </c>
      <c r="EB348" s="1221">
        <f>IF($DZ$339=$EB$340,$EC$340,
IF($DZ$339=$EB$341,$EC$341,
IF($DZ$339=$EB$347,$EC$342+$EC$343,0)))</f>
        <v>32</v>
      </c>
      <c r="EC348" s="1221">
        <f>IF($DZ$339=$EB$340,$ED$340,
IF($DZ$339=$EB$341,$ED$341,
IF($DZ$339=$EB$347,$ED$342+$ED$343,0)))</f>
        <v>32</v>
      </c>
      <c r="ED348" s="1221">
        <f>IF($DZ$339=$EB$340,$EE$340,
IF($DZ$339=$EB$341,$EE$341,
IF($DZ$339=$EB$347,$EE$342+$EE$343,0)))</f>
        <v>0</v>
      </c>
    </row>
    <row r="349" spans="128:142" ht="15" customHeight="1" x14ac:dyDescent="0.3">
      <c r="DX349" s="2525" t="s">
        <v>1115</v>
      </c>
      <c r="DY349" s="2526"/>
      <c r="DZ349" s="1196" t="str">
        <f>DZ346*4&amp;" шт"</f>
        <v>0 шт</v>
      </c>
      <c r="EB349" s="1220">
        <v>1</v>
      </c>
      <c r="EC349" s="1220">
        <v>2</v>
      </c>
      <c r="ED349" s="1220">
        <v>3</v>
      </c>
    </row>
    <row r="350" spans="128:142" ht="15" customHeight="1" x14ac:dyDescent="0.3">
      <c r="DX350" s="2525" t="s">
        <v>1116</v>
      </c>
      <c r="DY350" s="2526"/>
      <c r="DZ350" s="1196" t="str">
        <f>(IFERROR(VLOOKUP(A16,$DX$365:$EC$381,6,FALSE)*DZ341,0)*12)&amp;" шт"</f>
        <v>0 шт</v>
      </c>
    </row>
    <row r="355" spans="128:134" ht="15" customHeight="1" x14ac:dyDescent="0.3">
      <c r="DX355" s="1172" t="s">
        <v>1143</v>
      </c>
      <c r="DY355" s="1220" t="s">
        <v>1144</v>
      </c>
      <c r="DZ355" s="1220" t="s">
        <v>1145</v>
      </c>
      <c r="EA355" s="1172" t="s">
        <v>1146</v>
      </c>
    </row>
    <row r="356" spans="128:134" ht="15" customHeight="1" x14ac:dyDescent="0.3">
      <c r="DX356" s="1172" t="s">
        <v>1102</v>
      </c>
      <c r="DY356" s="1172">
        <v>860</v>
      </c>
      <c r="DZ356" s="1220">
        <v>1680</v>
      </c>
      <c r="EA356" s="1172">
        <v>1800</v>
      </c>
    </row>
    <row r="357" spans="128:134" ht="15" customHeight="1" x14ac:dyDescent="0.3">
      <c r="DX357" s="1172" t="s">
        <v>1147</v>
      </c>
      <c r="DY357" s="1172">
        <v>1370</v>
      </c>
      <c r="DZ357" s="1220">
        <v>1680</v>
      </c>
      <c r="EA357" s="1172">
        <v>1800</v>
      </c>
    </row>
    <row r="358" spans="128:134" ht="15" customHeight="1" x14ac:dyDescent="0.3">
      <c r="DX358" s="1172" t="s">
        <v>1148</v>
      </c>
      <c r="DY358" s="1172">
        <v>860</v>
      </c>
      <c r="DZ358" s="1220">
        <v>2000</v>
      </c>
      <c r="EA358" s="1172">
        <v>2000</v>
      </c>
    </row>
    <row r="359" spans="128:134" ht="15" customHeight="1" x14ac:dyDescent="0.3">
      <c r="DX359" s="1172" t="s">
        <v>1149</v>
      </c>
      <c r="DY359" s="1172">
        <v>880</v>
      </c>
      <c r="DZ359" s="1220">
        <v>2000</v>
      </c>
      <c r="EA359" s="1172">
        <v>2000</v>
      </c>
    </row>
    <row r="360" spans="128:134" ht="15" customHeight="1" x14ac:dyDescent="0.3">
      <c r="DX360" s="1172" t="s">
        <v>1150</v>
      </c>
      <c r="DY360" s="1172">
        <v>1370</v>
      </c>
      <c r="DZ360" s="1220">
        <v>2000</v>
      </c>
      <c r="EA360" s="1172">
        <v>2000</v>
      </c>
    </row>
    <row r="361" spans="128:134" ht="15" customHeight="1" x14ac:dyDescent="0.3">
      <c r="DX361" s="1172" t="s">
        <v>1151</v>
      </c>
      <c r="DY361" s="1172">
        <v>860</v>
      </c>
      <c r="DZ361" s="1220">
        <v>2500</v>
      </c>
      <c r="EA361" s="1172">
        <v>2500</v>
      </c>
    </row>
    <row r="364" spans="128:134" ht="15" customHeight="1" x14ac:dyDescent="0.3">
      <c r="DX364" s="1222" t="s">
        <v>1152</v>
      </c>
      <c r="DY364" s="1221" t="s">
        <v>1153</v>
      </c>
      <c r="DZ364" s="1221" t="s">
        <v>1154</v>
      </c>
      <c r="EA364" s="1221" t="s">
        <v>1155</v>
      </c>
      <c r="EB364" s="1221" t="s">
        <v>1145</v>
      </c>
      <c r="EC364" s="1221" t="s">
        <v>1156</v>
      </c>
      <c r="ED364" s="1223" t="s">
        <v>1146</v>
      </c>
    </row>
    <row r="365" spans="128:134" ht="15" customHeight="1" x14ac:dyDescent="0.3">
      <c r="DX365" s="1172" t="s">
        <v>1157</v>
      </c>
      <c r="DY365" s="1220">
        <v>1670</v>
      </c>
      <c r="DZ365" s="1220">
        <v>1670</v>
      </c>
      <c r="EA365" s="1220">
        <v>0</v>
      </c>
      <c r="EB365" s="1220">
        <v>1402</v>
      </c>
      <c r="EC365" s="1220">
        <v>2</v>
      </c>
      <c r="ED365" s="1172">
        <v>1800</v>
      </c>
    </row>
    <row r="366" spans="128:134" ht="15" customHeight="1" x14ac:dyDescent="0.3">
      <c r="DX366" s="1172" t="s">
        <v>1158</v>
      </c>
      <c r="DY366" s="1220">
        <v>1930</v>
      </c>
      <c r="DZ366" s="1220">
        <v>1930</v>
      </c>
      <c r="EA366" s="1220">
        <v>0</v>
      </c>
      <c r="EB366" s="1220">
        <v>1402</v>
      </c>
      <c r="EC366" s="1220">
        <v>2</v>
      </c>
      <c r="ED366" s="1172">
        <v>1800</v>
      </c>
    </row>
    <row r="367" spans="128:134" ht="15" customHeight="1" x14ac:dyDescent="0.3">
      <c r="DX367" s="1172" t="s">
        <v>1159</v>
      </c>
      <c r="DY367" s="1220">
        <v>2130</v>
      </c>
      <c r="DZ367" s="1220">
        <v>2130</v>
      </c>
      <c r="EA367" s="1220">
        <v>0</v>
      </c>
      <c r="EB367" s="1220">
        <v>1402</v>
      </c>
      <c r="EC367" s="1220">
        <v>2</v>
      </c>
      <c r="ED367" s="1172">
        <v>1800</v>
      </c>
    </row>
    <row r="368" spans="128:134" ht="15" customHeight="1" x14ac:dyDescent="0.3">
      <c r="DX368" s="1172" t="s">
        <v>1160</v>
      </c>
      <c r="DY368" s="1220">
        <v>1670</v>
      </c>
      <c r="DZ368" s="1220">
        <v>1670</v>
      </c>
      <c r="EA368" s="1220">
        <v>0</v>
      </c>
      <c r="EB368" s="1220">
        <v>1732</v>
      </c>
      <c r="EC368" s="1220">
        <v>2</v>
      </c>
      <c r="ED368" s="1172">
        <v>2000</v>
      </c>
    </row>
    <row r="369" spans="128:134" ht="15" customHeight="1" x14ac:dyDescent="0.3">
      <c r="DX369" s="1172" t="s">
        <v>1103</v>
      </c>
      <c r="DY369" s="1220">
        <v>1930</v>
      </c>
      <c r="DZ369" s="1220">
        <v>1930</v>
      </c>
      <c r="EA369" s="1220">
        <v>0</v>
      </c>
      <c r="EB369" s="1220">
        <v>1732</v>
      </c>
      <c r="EC369" s="1220">
        <v>2</v>
      </c>
      <c r="ED369" s="1172">
        <v>2000</v>
      </c>
    </row>
    <row r="370" spans="128:134" ht="15" customHeight="1" x14ac:dyDescent="0.3">
      <c r="DX370" s="1172" t="s">
        <v>1161</v>
      </c>
      <c r="DY370" s="1220">
        <v>2130</v>
      </c>
      <c r="DZ370" s="1220">
        <v>2130</v>
      </c>
      <c r="EA370" s="1220">
        <v>0</v>
      </c>
      <c r="EB370" s="1220">
        <v>1732</v>
      </c>
      <c r="EC370" s="1220">
        <v>2</v>
      </c>
      <c r="ED370" s="1172">
        <v>2000</v>
      </c>
    </row>
    <row r="371" spans="128:134" ht="15" customHeight="1" x14ac:dyDescent="0.3">
      <c r="DX371" s="1172" t="s">
        <v>1162</v>
      </c>
      <c r="DY371" s="1220">
        <v>1410</v>
      </c>
      <c r="DZ371" s="1220">
        <v>1410</v>
      </c>
      <c r="EA371" s="1220">
        <v>1910</v>
      </c>
      <c r="EB371" s="1220">
        <v>1732</v>
      </c>
      <c r="EC371" s="1220">
        <v>3</v>
      </c>
      <c r="ED371" s="1172">
        <v>2000</v>
      </c>
    </row>
    <row r="372" spans="128:134" ht="15" customHeight="1" x14ac:dyDescent="0.3">
      <c r="DX372" s="1172" t="s">
        <v>1163</v>
      </c>
      <c r="DY372" s="1220">
        <v>1410</v>
      </c>
      <c r="DZ372" s="1220">
        <v>1910</v>
      </c>
      <c r="EA372" s="1220">
        <v>1910</v>
      </c>
      <c r="EB372" s="1220">
        <v>1732</v>
      </c>
      <c r="EC372" s="1220">
        <v>3</v>
      </c>
      <c r="ED372" s="1172">
        <v>2000</v>
      </c>
    </row>
    <row r="373" spans="128:134" ht="15" customHeight="1" x14ac:dyDescent="0.3">
      <c r="DX373" s="1172" t="s">
        <v>1164</v>
      </c>
      <c r="DY373" s="1220">
        <v>1910</v>
      </c>
      <c r="DZ373" s="1220">
        <v>1910</v>
      </c>
      <c r="EA373" s="1220">
        <v>1910</v>
      </c>
      <c r="EB373" s="1220">
        <v>1732</v>
      </c>
      <c r="EC373" s="1220">
        <v>3</v>
      </c>
      <c r="ED373" s="1172">
        <v>2000</v>
      </c>
    </row>
    <row r="374" spans="128:134" ht="15" customHeight="1" x14ac:dyDescent="0.3">
      <c r="DX374" s="1172" t="s">
        <v>1165</v>
      </c>
      <c r="DY374" s="1220">
        <v>1670</v>
      </c>
      <c r="DZ374" s="1220">
        <v>1670</v>
      </c>
      <c r="EA374" s="1220">
        <v>0</v>
      </c>
      <c r="EB374" s="1224">
        <v>2191</v>
      </c>
      <c r="EC374" s="1224">
        <v>2</v>
      </c>
      <c r="ED374" s="1172">
        <v>2500</v>
      </c>
    </row>
    <row r="375" spans="128:134" ht="15" customHeight="1" x14ac:dyDescent="0.3">
      <c r="DX375" s="1172" t="s">
        <v>1166</v>
      </c>
      <c r="DY375" s="1220">
        <v>1930</v>
      </c>
      <c r="DZ375" s="1220">
        <v>1930</v>
      </c>
      <c r="EA375" s="1220">
        <v>0</v>
      </c>
      <c r="EB375" s="1224">
        <v>2191</v>
      </c>
      <c r="EC375" s="1224">
        <v>2</v>
      </c>
      <c r="ED375" s="1172">
        <v>2500</v>
      </c>
    </row>
    <row r="376" spans="128:134" ht="15" customHeight="1" x14ac:dyDescent="0.3">
      <c r="DX376" s="1172" t="s">
        <v>1167</v>
      </c>
      <c r="DY376" s="1220">
        <v>1880</v>
      </c>
      <c r="DZ376" s="1220">
        <v>1880</v>
      </c>
      <c r="EA376" s="1220">
        <v>0</v>
      </c>
      <c r="EB376" s="1220">
        <v>1512</v>
      </c>
      <c r="EC376" s="1224">
        <v>2</v>
      </c>
      <c r="ED376" s="1172">
        <v>1800</v>
      </c>
    </row>
    <row r="377" spans="128:134" ht="15" customHeight="1" x14ac:dyDescent="0.3">
      <c r="DX377" s="1172" t="s">
        <v>1168</v>
      </c>
      <c r="DY377" s="1220">
        <v>1880</v>
      </c>
      <c r="DZ377" s="1220">
        <v>1880</v>
      </c>
      <c r="EA377" s="1220">
        <v>0</v>
      </c>
      <c r="EB377" s="1220">
        <v>1842</v>
      </c>
      <c r="EC377" s="1224">
        <v>2</v>
      </c>
      <c r="ED377" s="1172">
        <v>2000</v>
      </c>
    </row>
    <row r="378" spans="128:134" ht="15" customHeight="1" x14ac:dyDescent="0.3">
      <c r="DX378" s="1172" t="s">
        <v>1169</v>
      </c>
      <c r="DY378" s="1220">
        <v>1670</v>
      </c>
      <c r="DZ378" s="1220">
        <v>1670</v>
      </c>
      <c r="EA378" s="1220">
        <v>0</v>
      </c>
      <c r="EB378" s="1220">
        <v>1512</v>
      </c>
      <c r="EC378" s="1220">
        <v>2</v>
      </c>
      <c r="ED378" s="1172">
        <v>1800</v>
      </c>
    </row>
    <row r="379" spans="128:134" ht="15" customHeight="1" x14ac:dyDescent="0.3">
      <c r="DX379" s="1172" t="s">
        <v>1170</v>
      </c>
      <c r="DY379" s="1220">
        <v>1860</v>
      </c>
      <c r="DZ379" s="1220">
        <v>1860</v>
      </c>
      <c r="EA379" s="1220">
        <v>0</v>
      </c>
      <c r="EB379" s="1220">
        <v>1512</v>
      </c>
      <c r="EC379" s="1220">
        <v>2</v>
      </c>
      <c r="ED379" s="1172">
        <v>1800</v>
      </c>
    </row>
    <row r="380" spans="128:134" ht="15" customHeight="1" x14ac:dyDescent="0.3">
      <c r="DX380" s="1172" t="s">
        <v>1171</v>
      </c>
      <c r="DY380" s="1220">
        <v>1670</v>
      </c>
      <c r="DZ380" s="1220">
        <v>1670</v>
      </c>
      <c r="EA380" s="1220">
        <v>0</v>
      </c>
      <c r="EB380" s="1220">
        <v>1842</v>
      </c>
      <c r="EC380" s="1220">
        <v>2</v>
      </c>
      <c r="ED380" s="1172">
        <v>2000</v>
      </c>
    </row>
    <row r="381" spans="128:134" ht="15" customHeight="1" x14ac:dyDescent="0.3">
      <c r="DX381" s="1172" t="s">
        <v>1172</v>
      </c>
      <c r="DY381" s="1220">
        <v>1860</v>
      </c>
      <c r="DZ381" s="1220">
        <v>1860</v>
      </c>
      <c r="EA381" s="1220">
        <v>0</v>
      </c>
      <c r="EB381" s="1220">
        <v>1842</v>
      </c>
      <c r="EC381" s="1220">
        <v>2</v>
      </c>
      <c r="ED381" s="1172">
        <v>2000</v>
      </c>
    </row>
    <row r="382" spans="128:134" ht="15" customHeight="1" x14ac:dyDescent="0.3">
      <c r="DX382" s="1172">
        <f>IF(B8&lt;=2000,2000,
IF(AND(B8&gt;2001,B8&lt;=2500),2500,3000))</f>
        <v>2500</v>
      </c>
    </row>
    <row r="384" spans="128:134" ht="15" customHeight="1" x14ac:dyDescent="0.3">
      <c r="DX384" s="1172" t="s">
        <v>1173</v>
      </c>
      <c r="DY384" s="1172">
        <v>128</v>
      </c>
      <c r="EB384" s="1172" t="str">
        <f>A10</f>
        <v>Полукруглый Slim GL</v>
      </c>
      <c r="EC384" s="1172">
        <f>VLOOKUP(EB384,DX384:DY386,2,FALSE)</f>
        <v>100</v>
      </c>
    </row>
    <row r="385" spans="128:129" ht="15" customHeight="1" x14ac:dyDescent="0.3">
      <c r="DX385" s="1172" t="s">
        <v>1174</v>
      </c>
      <c r="DY385" s="1172">
        <v>118</v>
      </c>
    </row>
    <row r="386" spans="128:129" ht="15" customHeight="1" x14ac:dyDescent="0.3">
      <c r="DX386" s="1172" t="s">
        <v>1096</v>
      </c>
      <c r="DY386" s="1172">
        <v>100</v>
      </c>
    </row>
  </sheetData>
  <mergeCells count="51">
    <mergeCell ref="DX285:DY285"/>
    <mergeCell ref="A6:B6"/>
    <mergeCell ref="A10:B10"/>
    <mergeCell ref="A14:B14"/>
    <mergeCell ref="DX283:DZ283"/>
    <mergeCell ref="DX284:DY284"/>
    <mergeCell ref="DX310:DY310"/>
    <mergeCell ref="DX291:DY291"/>
    <mergeCell ref="DX292:DX293"/>
    <mergeCell ref="DX294:DX299"/>
    <mergeCell ref="DX300:DY300"/>
    <mergeCell ref="DX301:DY301"/>
    <mergeCell ref="DX302:DY302"/>
    <mergeCell ref="DX305:DZ305"/>
    <mergeCell ref="DX306:DY306"/>
    <mergeCell ref="DX307:DY307"/>
    <mergeCell ref="DX308:DY308"/>
    <mergeCell ref="DX309:DY309"/>
    <mergeCell ref="DX326:DZ326"/>
    <mergeCell ref="DX311:DY311"/>
    <mergeCell ref="DX312:DY312"/>
    <mergeCell ref="DX313:DY313"/>
    <mergeCell ref="DX314:DX315"/>
    <mergeCell ref="DX316:DX317"/>
    <mergeCell ref="DX318:DY318"/>
    <mergeCell ref="DX319:DY319"/>
    <mergeCell ref="DX320:DY320"/>
    <mergeCell ref="DX322:DZ322"/>
    <mergeCell ref="DX323:DY323"/>
    <mergeCell ref="DX324:DY324"/>
    <mergeCell ref="DX340:DY340"/>
    <mergeCell ref="DX327:DY327"/>
    <mergeCell ref="DX328:DY328"/>
    <mergeCell ref="DX329:DY329"/>
    <mergeCell ref="DX330:DY330"/>
    <mergeCell ref="DX331:DY331"/>
    <mergeCell ref="DX332:DY332"/>
    <mergeCell ref="DX333:DX334"/>
    <mergeCell ref="DX335:DY335"/>
    <mergeCell ref="DX336:DY336"/>
    <mergeCell ref="DX338:DZ338"/>
    <mergeCell ref="DX339:DY339"/>
    <mergeCell ref="DX347:DX348"/>
    <mergeCell ref="DX349:DY349"/>
    <mergeCell ref="DX350:DY350"/>
    <mergeCell ref="DX341:DY341"/>
    <mergeCell ref="DX342:DY342"/>
    <mergeCell ref="DX343:DY343"/>
    <mergeCell ref="DX344:DY344"/>
    <mergeCell ref="DX345:DY345"/>
    <mergeCell ref="DX346:DY346"/>
  </mergeCells>
  <conditionalFormatting sqref="B8:B9">
    <cfRule type="cellIs" dxfId="0" priority="1" operator="greaterThan">
      <formula>3000</formula>
    </cfRule>
  </conditionalFormatting>
  <dataValidations count="7">
    <dataValidation type="list" allowBlank="1" showInputMessage="1" showErrorMessage="1" sqref="A16" xr:uid="{6396328E-3A73-475C-94C1-C0C099B0A318}">
      <formula1>$DX$364:$DX$381</formula1>
    </dataValidation>
    <dataValidation type="list" allowBlank="1" showInputMessage="1" showErrorMessage="1" sqref="A15" xr:uid="{11A2FA5F-19AC-4AE1-A28D-69993097A58F}">
      <formula1>$DX$355:$DX$361</formula1>
    </dataValidation>
    <dataValidation type="decimal" allowBlank="1" showInputMessage="1" showErrorMessage="1" promptTitle="Высота от 500 мм до 2000 мм" prompt="Высота забора должно быть не более 2000 мм или менее 500 мм" sqref="B9" xr:uid="{C93961E3-8FAC-4673-80B9-D0CE94639498}">
      <formula1>500</formula1>
      <formula2>2000</formula2>
    </dataValidation>
    <dataValidation type="decimal" allowBlank="1" showInputMessage="1" showErrorMessage="1" promptTitle="Секция от 500 мм до 2500 мм" prompt="Расстояние между солбами не должно быть более 2500 мм или менее 500 мм" sqref="B8" xr:uid="{EABF6038-842D-48AB-9654-559EE4618467}">
      <formula1>500</formula1>
      <formula2>3000</formula2>
    </dataValidation>
    <dataValidation type="list" allowBlank="1" showInputMessage="1" showErrorMessage="1" sqref="A10:B10" xr:uid="{E9FB5E96-7654-44DF-BF18-0EED83544715}">
      <formula1>"Круглый GL, Прямоугольный GL, Полукруглый Slim GL"</formula1>
    </dataValidation>
    <dataValidation type="list" allowBlank="1" showInputMessage="1" showErrorMessage="1" sqref="B12" xr:uid="{B8CFE396-0467-4891-BE26-DE2E4F498BFC}">
      <formula1>"шахматка,односторонний,двусторонний"</formula1>
    </dataValidation>
    <dataValidation type="whole" allowBlank="1" showInputMessage="1" showErrorMessage="1" sqref="B15:B16" xr:uid="{A1668422-9A9C-40FC-B2B9-1A4A2FB49E24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9701-EA21-4316-9633-D2F700AE90C0}">
  <sheetPr>
    <tabColor theme="5"/>
  </sheetPr>
  <dimension ref="A1:AR218"/>
  <sheetViews>
    <sheetView zoomScale="85" zoomScaleNormal="85" workbookViewId="0"/>
  </sheetViews>
  <sheetFormatPr defaultRowHeight="15" x14ac:dyDescent="0.25"/>
  <cols>
    <col min="1" max="1" width="34.140625" style="1082" customWidth="1"/>
    <col min="2" max="2" width="11.42578125" style="1082" customWidth="1"/>
    <col min="3" max="3" width="9.140625" style="1082" customWidth="1"/>
    <col min="4" max="4" width="13.28515625" style="1082" customWidth="1"/>
    <col min="5" max="5" width="15.140625" style="1082" customWidth="1"/>
    <col min="6" max="7" width="15.5703125" style="1082" customWidth="1"/>
    <col min="8" max="8" width="17.7109375" style="1082" customWidth="1"/>
    <col min="9" max="9" width="11.7109375" style="1082" customWidth="1"/>
    <col min="10" max="10" width="11.42578125" style="1082" customWidth="1"/>
    <col min="11" max="11" width="11.28515625" style="1082" customWidth="1"/>
    <col min="12" max="12" width="11.7109375" style="1082" customWidth="1"/>
    <col min="13" max="13" width="10.85546875" style="1082" customWidth="1"/>
    <col min="14" max="14" width="11.140625" style="1082" customWidth="1"/>
    <col min="15" max="15" width="9.140625" style="1082" customWidth="1"/>
    <col min="16" max="16" width="9.7109375" style="1082" customWidth="1"/>
    <col min="17" max="19" width="15.140625" style="1082" customWidth="1"/>
    <col min="20" max="20" width="9.140625" style="1082" customWidth="1"/>
    <col min="21" max="21" width="12.42578125" style="1082" customWidth="1"/>
    <col min="22" max="23" width="13.28515625" style="1082" customWidth="1"/>
    <col min="24" max="24" width="11.140625" style="1082" customWidth="1"/>
    <col min="25" max="25" width="13.28515625" style="1082" customWidth="1"/>
    <col min="26" max="27" width="13.7109375" style="1082" customWidth="1"/>
    <col min="28" max="28" width="12.5703125" style="1082" customWidth="1"/>
    <col min="29" max="29" width="7.140625" style="1082" customWidth="1"/>
    <col min="30" max="31" width="9.140625" style="1082" customWidth="1"/>
    <col min="32" max="32" width="16.85546875" style="1082" bestFit="1" customWidth="1"/>
    <col min="33" max="33" width="8" style="1082" bestFit="1" customWidth="1"/>
    <col min="34" max="41" width="9.140625" style="1082" customWidth="1"/>
    <col min="42" max="16384" width="9.140625" style="1082"/>
  </cols>
  <sheetData>
    <row r="1" spans="1:24" ht="18.75" x14ac:dyDescent="0.3">
      <c r="A1" s="1225" t="s">
        <v>1175</v>
      </c>
    </row>
    <row r="2" spans="1:24" x14ac:dyDescent="0.25">
      <c r="A2" s="1079"/>
      <c r="B2" s="1079"/>
      <c r="C2" s="1079"/>
      <c r="D2" s="1079"/>
      <c r="E2" s="1079"/>
      <c r="F2" s="1079"/>
      <c r="G2" s="1079"/>
      <c r="H2" s="1126"/>
      <c r="I2" s="1079"/>
      <c r="J2" s="1079"/>
      <c r="K2" s="1079"/>
      <c r="L2" s="1079"/>
    </row>
    <row r="3" spans="1:24" ht="66.599999999999994" customHeight="1" x14ac:dyDescent="0.25">
      <c r="A3" s="1088" t="s">
        <v>890</v>
      </c>
      <c r="B3" s="2496" t="s">
        <v>900</v>
      </c>
      <c r="C3" s="2496"/>
      <c r="D3" s="1079"/>
      <c r="E3" s="1079"/>
      <c r="F3" s="1088" t="s">
        <v>890</v>
      </c>
      <c r="G3" s="1088" t="s">
        <v>900</v>
      </c>
      <c r="H3" s="1088" t="s">
        <v>901</v>
      </c>
      <c r="I3" s="1079"/>
      <c r="J3" s="1079"/>
      <c r="K3" s="1079"/>
      <c r="L3" s="1088" t="s">
        <v>890</v>
      </c>
      <c r="M3" s="2496" t="s">
        <v>900</v>
      </c>
      <c r="N3" s="2496"/>
      <c r="Q3" s="1082" t="s">
        <v>1176</v>
      </c>
      <c r="R3" s="1226" t="s">
        <v>1177</v>
      </c>
      <c r="S3" s="1226" t="s">
        <v>1178</v>
      </c>
      <c r="T3" s="1082" t="s">
        <v>1179</v>
      </c>
      <c r="U3" s="1082" t="s">
        <v>1180</v>
      </c>
      <c r="V3" s="1226" t="s">
        <v>1177</v>
      </c>
      <c r="W3" s="1226" t="s">
        <v>1178</v>
      </c>
      <c r="X3" s="1082" t="s">
        <v>1179</v>
      </c>
    </row>
    <row r="4" spans="1:24" ht="38.25" x14ac:dyDescent="0.25">
      <c r="A4" s="1091" t="s">
        <v>1181</v>
      </c>
      <c r="B4" s="1091" t="s">
        <v>1181</v>
      </c>
      <c r="C4" s="1227" t="s">
        <v>973</v>
      </c>
      <c r="D4" s="1079"/>
      <c r="E4" s="1079"/>
      <c r="F4" s="1091" t="s">
        <v>1182</v>
      </c>
      <c r="G4" s="1091" t="s">
        <v>1182</v>
      </c>
      <c r="H4" s="1091" t="s">
        <v>1182</v>
      </c>
      <c r="I4" s="1079"/>
      <c r="J4" s="1079"/>
      <c r="K4" s="1079"/>
      <c r="L4" s="1091" t="s">
        <v>1181</v>
      </c>
      <c r="M4" s="1091" t="s">
        <v>1181</v>
      </c>
      <c r="N4" s="1227" t="s">
        <v>973</v>
      </c>
      <c r="Q4" s="1082" t="s">
        <v>1183</v>
      </c>
      <c r="R4" s="1228">
        <v>1</v>
      </c>
      <c r="S4" s="1228">
        <v>13</v>
      </c>
      <c r="T4" s="1228" t="s">
        <v>18</v>
      </c>
      <c r="U4" s="1082" t="s">
        <v>1183</v>
      </c>
      <c r="V4" s="1228">
        <v>2</v>
      </c>
      <c r="W4" s="1228">
        <v>12</v>
      </c>
      <c r="X4" s="1228" t="s">
        <v>18</v>
      </c>
    </row>
    <row r="5" spans="1:24" x14ac:dyDescent="0.25">
      <c r="A5" s="1229">
        <v>0</v>
      </c>
      <c r="B5" s="1229">
        <v>0</v>
      </c>
      <c r="C5" s="1229">
        <v>0</v>
      </c>
      <c r="D5" s="1079"/>
      <c r="E5" s="1079"/>
      <c r="F5" s="1230" t="s">
        <v>1013</v>
      </c>
      <c r="G5" s="1230" t="s">
        <v>1013</v>
      </c>
      <c r="H5" s="1230" t="s">
        <v>1013</v>
      </c>
      <c r="I5" s="1079"/>
      <c r="J5" s="1079"/>
      <c r="K5" s="1079"/>
      <c r="L5" s="1229">
        <v>0</v>
      </c>
      <c r="M5" s="1229">
        <v>0</v>
      </c>
      <c r="N5" s="1229">
        <v>0</v>
      </c>
      <c r="Q5" s="1082" t="s">
        <v>1184</v>
      </c>
      <c r="R5" s="1228">
        <v>1</v>
      </c>
      <c r="S5" s="1228">
        <v>13</v>
      </c>
      <c r="T5" s="1228" t="s">
        <v>18</v>
      </c>
      <c r="U5" s="1082" t="s">
        <v>1184</v>
      </c>
      <c r="V5" s="1228">
        <v>2</v>
      </c>
      <c r="W5" s="1228">
        <v>12</v>
      </c>
      <c r="X5" s="1228" t="s">
        <v>18</v>
      </c>
    </row>
    <row r="6" spans="1:24" x14ac:dyDescent="0.25">
      <c r="A6" s="1231">
        <v>0.57999999999999996</v>
      </c>
      <c r="B6" s="1229">
        <v>0.5</v>
      </c>
      <c r="C6" s="1229">
        <v>5</v>
      </c>
      <c r="D6" s="1079"/>
      <c r="E6" s="1079"/>
      <c r="F6" s="1232" t="s">
        <v>959</v>
      </c>
      <c r="G6" s="1232" t="s">
        <v>959</v>
      </c>
      <c r="H6" s="1232" t="s">
        <v>959</v>
      </c>
      <c r="I6" s="1079"/>
      <c r="J6" s="1079"/>
      <c r="K6" s="1079"/>
      <c r="L6" s="1231">
        <v>0.57999999999999996</v>
      </c>
      <c r="M6" s="1229">
        <v>0.5</v>
      </c>
      <c r="N6" s="1229">
        <v>5</v>
      </c>
      <c r="Q6" s="1082" t="s">
        <v>1185</v>
      </c>
      <c r="R6" s="1228">
        <v>1</v>
      </c>
      <c r="S6" s="1228">
        <v>16</v>
      </c>
      <c r="T6" s="1228" t="s">
        <v>18</v>
      </c>
      <c r="U6" s="1082" t="s">
        <v>1185</v>
      </c>
      <c r="V6" s="1228">
        <v>2</v>
      </c>
      <c r="W6" s="1228">
        <v>15</v>
      </c>
      <c r="X6" s="1228" t="s">
        <v>18</v>
      </c>
    </row>
    <row r="7" spans="1:24" x14ac:dyDescent="0.25">
      <c r="A7" s="1231">
        <v>0.69</v>
      </c>
      <c r="B7" s="1229">
        <v>0.6</v>
      </c>
      <c r="C7" s="1229">
        <v>6</v>
      </c>
      <c r="D7" s="1079"/>
      <c r="E7" s="1079"/>
      <c r="F7" s="1079"/>
      <c r="G7" s="1079"/>
      <c r="H7" s="1079"/>
      <c r="I7" s="1079"/>
      <c r="J7" s="1079"/>
      <c r="K7" s="1079"/>
      <c r="L7" s="1231">
        <v>0.69</v>
      </c>
      <c r="M7" s="1229">
        <v>0.6</v>
      </c>
      <c r="N7" s="1229">
        <v>6</v>
      </c>
      <c r="Q7" s="1082" t="s">
        <v>1186</v>
      </c>
      <c r="R7" s="1228">
        <v>1</v>
      </c>
      <c r="S7" s="1228">
        <v>16</v>
      </c>
      <c r="T7" s="1228" t="s">
        <v>18</v>
      </c>
      <c r="U7" s="1082" t="s">
        <v>1186</v>
      </c>
      <c r="V7" s="1228">
        <v>2</v>
      </c>
      <c r="W7" s="1228">
        <v>15</v>
      </c>
      <c r="X7" s="1228" t="s">
        <v>18</v>
      </c>
    </row>
    <row r="8" spans="1:24" x14ac:dyDescent="0.25">
      <c r="A8" s="1231">
        <v>0.8</v>
      </c>
      <c r="B8" s="1229">
        <v>0.7</v>
      </c>
      <c r="C8" s="1229">
        <v>7</v>
      </c>
      <c r="D8" s="1079"/>
      <c r="E8" s="1079"/>
      <c r="F8" s="1079"/>
      <c r="G8" s="1079"/>
      <c r="H8" s="1079"/>
      <c r="I8" s="1079"/>
      <c r="J8" s="1079"/>
      <c r="K8" s="1079"/>
      <c r="L8" s="1231">
        <v>0.8</v>
      </c>
      <c r="M8" s="1229">
        <v>0.7</v>
      </c>
      <c r="N8" s="1229">
        <v>7</v>
      </c>
      <c r="Q8" s="1082" t="s">
        <v>1187</v>
      </c>
      <c r="R8" s="1228">
        <v>1</v>
      </c>
      <c r="S8" s="1228">
        <v>16</v>
      </c>
      <c r="T8" s="1228" t="s">
        <v>18</v>
      </c>
      <c r="U8" s="1082" t="s">
        <v>1187</v>
      </c>
      <c r="V8" s="1228">
        <v>2</v>
      </c>
      <c r="W8" s="1228">
        <v>15</v>
      </c>
      <c r="X8" s="1228" t="s">
        <v>18</v>
      </c>
    </row>
    <row r="9" spans="1:24" x14ac:dyDescent="0.25">
      <c r="A9" s="1231">
        <v>0.91</v>
      </c>
      <c r="B9" s="1229">
        <v>0.8</v>
      </c>
      <c r="C9" s="1229">
        <v>8</v>
      </c>
      <c r="D9" s="1079"/>
      <c r="E9" s="1079"/>
      <c r="H9" s="1079"/>
      <c r="I9" s="1079"/>
      <c r="J9" s="1079"/>
      <c r="K9" s="1079"/>
      <c r="L9" s="1231">
        <v>0.91</v>
      </c>
      <c r="M9" s="1229">
        <v>0.8</v>
      </c>
      <c r="N9" s="1229">
        <v>8</v>
      </c>
      <c r="Q9" s="1082" t="s">
        <v>1188</v>
      </c>
      <c r="R9" s="1228">
        <v>2</v>
      </c>
      <c r="S9" s="1228">
        <v>20</v>
      </c>
      <c r="T9" s="1228" t="s">
        <v>18</v>
      </c>
      <c r="U9" s="1082" t="s">
        <v>1188</v>
      </c>
      <c r="V9" s="1228">
        <v>0</v>
      </c>
      <c r="W9" s="1228">
        <v>21</v>
      </c>
      <c r="X9" s="1228" t="s">
        <v>18</v>
      </c>
    </row>
    <row r="10" spans="1:24" x14ac:dyDescent="0.25">
      <c r="A10" s="1231">
        <v>1.02</v>
      </c>
      <c r="B10" s="1229">
        <v>0.9</v>
      </c>
      <c r="C10" s="1229">
        <v>9</v>
      </c>
      <c r="D10" s="1079"/>
      <c r="E10" s="1079"/>
      <c r="H10" s="1079"/>
      <c r="I10" s="1079"/>
      <c r="J10" s="1079"/>
      <c r="K10" s="1079"/>
      <c r="L10" s="1231">
        <v>1.02</v>
      </c>
      <c r="M10" s="1229">
        <v>0.9</v>
      </c>
      <c r="N10" s="1229">
        <v>9</v>
      </c>
      <c r="R10" s="1228" t="s">
        <v>1189</v>
      </c>
      <c r="S10" s="1228" t="s">
        <v>1189</v>
      </c>
      <c r="T10" s="1228" t="s">
        <v>18</v>
      </c>
      <c r="V10" s="1228" t="s">
        <v>1189</v>
      </c>
      <c r="W10" s="1228" t="s">
        <v>1189</v>
      </c>
      <c r="X10" s="1228" t="s">
        <v>18</v>
      </c>
    </row>
    <row r="11" spans="1:24" x14ac:dyDescent="0.25">
      <c r="A11" s="1231">
        <v>1.1299999999999999</v>
      </c>
      <c r="B11" s="1229">
        <v>1</v>
      </c>
      <c r="C11" s="1229">
        <v>10</v>
      </c>
      <c r="D11" s="1079"/>
      <c r="J11" s="1079"/>
      <c r="K11" s="1079"/>
      <c r="L11" s="1231">
        <v>1.1299999999999999</v>
      </c>
      <c r="M11" s="1229">
        <v>1</v>
      </c>
      <c r="N11" s="1229">
        <v>10</v>
      </c>
      <c r="Q11" s="1082" t="s">
        <v>1190</v>
      </c>
      <c r="R11" s="1228">
        <v>2</v>
      </c>
      <c r="S11" s="1228">
        <v>26</v>
      </c>
      <c r="T11" s="1228" t="s">
        <v>18</v>
      </c>
      <c r="U11" s="1082" t="s">
        <v>1190</v>
      </c>
      <c r="V11" s="1228">
        <v>4</v>
      </c>
      <c r="W11" s="1228">
        <v>24</v>
      </c>
      <c r="X11" s="1228" t="s">
        <v>18</v>
      </c>
    </row>
    <row r="12" spans="1:24" x14ac:dyDescent="0.25">
      <c r="A12" s="1231">
        <v>1.24</v>
      </c>
      <c r="B12" s="1229">
        <v>1.1000000000000001</v>
      </c>
      <c r="C12" s="1229">
        <v>11</v>
      </c>
      <c r="D12" s="1079"/>
      <c r="E12" s="1079"/>
      <c r="F12" s="1079"/>
      <c r="G12" s="1079"/>
      <c r="H12" s="1079"/>
      <c r="I12" s="1079"/>
      <c r="J12" s="1079"/>
      <c r="K12" s="1079"/>
      <c r="L12" s="1231">
        <v>1.24</v>
      </c>
      <c r="M12" s="1229">
        <v>1.1000000000000001</v>
      </c>
      <c r="N12" s="1229">
        <v>11</v>
      </c>
      <c r="Q12" s="1082" t="s">
        <v>1191</v>
      </c>
      <c r="R12" s="1228">
        <v>2</v>
      </c>
      <c r="S12" s="1228">
        <v>26</v>
      </c>
      <c r="T12" s="1228" t="s">
        <v>18</v>
      </c>
      <c r="U12" s="1082" t="s">
        <v>1191</v>
      </c>
      <c r="V12" s="1228">
        <v>4</v>
      </c>
      <c r="W12" s="1228">
        <v>24</v>
      </c>
      <c r="X12" s="1228" t="s">
        <v>18</v>
      </c>
    </row>
    <row r="13" spans="1:24" x14ac:dyDescent="0.25">
      <c r="A13" s="1231">
        <v>1.35</v>
      </c>
      <c r="B13" s="1229">
        <v>1.2</v>
      </c>
      <c r="C13" s="1229">
        <v>12</v>
      </c>
      <c r="D13" s="1079"/>
      <c r="E13" s="1079"/>
      <c r="F13" s="1079"/>
      <c r="G13" s="1079"/>
      <c r="H13" s="1079"/>
      <c r="I13" s="1079"/>
      <c r="J13" s="1079"/>
      <c r="K13" s="1079"/>
      <c r="L13" s="1231">
        <v>1.35</v>
      </c>
      <c r="M13" s="1229">
        <v>1.2</v>
      </c>
      <c r="N13" s="1229">
        <v>12</v>
      </c>
      <c r="Q13" s="1082" t="s">
        <v>1192</v>
      </c>
      <c r="R13" s="1228">
        <v>2</v>
      </c>
      <c r="S13" s="1228">
        <v>32</v>
      </c>
      <c r="T13" s="1228" t="s">
        <v>18</v>
      </c>
      <c r="U13" s="1082" t="s">
        <v>1192</v>
      </c>
      <c r="V13" s="1228">
        <v>2</v>
      </c>
      <c r="W13" s="1228">
        <v>32</v>
      </c>
      <c r="X13" s="1228" t="s">
        <v>18</v>
      </c>
    </row>
    <row r="14" spans="1:24" x14ac:dyDescent="0.25">
      <c r="A14" s="1231">
        <v>1.46</v>
      </c>
      <c r="B14" s="1229">
        <v>1.3</v>
      </c>
      <c r="C14" s="1229">
        <v>13</v>
      </c>
      <c r="D14" s="1079"/>
      <c r="E14" s="1079"/>
      <c r="F14" s="1079"/>
      <c r="G14" s="1079"/>
      <c r="H14" s="1079"/>
      <c r="I14" s="1079"/>
      <c r="J14" s="1079"/>
      <c r="K14" s="1079"/>
      <c r="L14" s="1231">
        <v>1.46</v>
      </c>
      <c r="M14" s="1229">
        <v>1.3</v>
      </c>
      <c r="N14" s="1229">
        <v>13</v>
      </c>
      <c r="Q14" s="1082" t="s">
        <v>1193</v>
      </c>
      <c r="R14" s="1228">
        <v>2</v>
      </c>
      <c r="S14" s="1228">
        <v>26</v>
      </c>
      <c r="T14" s="1228" t="s">
        <v>18</v>
      </c>
      <c r="U14" s="1082" t="s">
        <v>1193</v>
      </c>
      <c r="V14" s="1228">
        <v>4</v>
      </c>
      <c r="W14" s="1228">
        <v>24</v>
      </c>
      <c r="X14" s="1228" t="s">
        <v>18</v>
      </c>
    </row>
    <row r="15" spans="1:24" x14ac:dyDescent="0.25">
      <c r="A15" s="1231">
        <v>1.57</v>
      </c>
      <c r="B15" s="1229">
        <v>1.4</v>
      </c>
      <c r="C15" s="1229">
        <v>14</v>
      </c>
      <c r="D15" s="1079"/>
      <c r="E15" s="1079"/>
      <c r="F15" s="1079"/>
      <c r="G15" s="1079"/>
      <c r="H15" s="1079"/>
      <c r="I15" s="1079"/>
      <c r="J15" s="1079"/>
      <c r="K15" s="1079"/>
      <c r="L15" s="1231">
        <v>1.57</v>
      </c>
      <c r="M15" s="1229">
        <v>1.4</v>
      </c>
      <c r="N15" s="1229">
        <v>14</v>
      </c>
      <c r="Q15" s="1082" t="s">
        <v>1194</v>
      </c>
      <c r="R15" s="1228">
        <v>2</v>
      </c>
      <c r="S15" s="1228">
        <v>32</v>
      </c>
      <c r="T15" s="1228" t="s">
        <v>18</v>
      </c>
      <c r="U15" s="1082" t="s">
        <v>1194</v>
      </c>
      <c r="V15" s="1228">
        <v>2</v>
      </c>
      <c r="W15" s="1228">
        <v>32</v>
      </c>
      <c r="X15" s="1228" t="s">
        <v>18</v>
      </c>
    </row>
    <row r="16" spans="1:24" x14ac:dyDescent="0.25">
      <c r="A16" s="1231">
        <v>1.68</v>
      </c>
      <c r="B16" s="1229">
        <v>1.5</v>
      </c>
      <c r="C16" s="1229">
        <v>15</v>
      </c>
      <c r="D16" s="1079"/>
      <c r="E16" s="1079"/>
      <c r="F16" s="1079"/>
      <c r="G16" s="1079"/>
      <c r="H16" s="1079"/>
      <c r="I16" s="1079"/>
      <c r="J16" s="1079"/>
      <c r="K16" s="1079"/>
      <c r="L16" s="1231">
        <v>1.68</v>
      </c>
      <c r="M16" s="1229">
        <v>1.5</v>
      </c>
      <c r="N16" s="1229">
        <v>15</v>
      </c>
      <c r="Q16" s="1082" t="s">
        <v>1195</v>
      </c>
      <c r="R16" s="1228">
        <v>2</v>
      </c>
      <c r="S16" s="1228">
        <v>32</v>
      </c>
      <c r="T16" s="1228" t="s">
        <v>18</v>
      </c>
      <c r="U16" s="1082" t="s">
        <v>1195</v>
      </c>
      <c r="V16" s="1228">
        <v>2</v>
      </c>
      <c r="W16" s="1228">
        <v>32</v>
      </c>
      <c r="X16" s="1228" t="s">
        <v>18</v>
      </c>
    </row>
    <row r="17" spans="1:24" x14ac:dyDescent="0.25">
      <c r="A17" s="1231">
        <v>1.79</v>
      </c>
      <c r="B17" s="1229">
        <v>1.6</v>
      </c>
      <c r="C17" s="1229">
        <v>16</v>
      </c>
      <c r="D17" s="1079"/>
      <c r="E17" s="1079"/>
      <c r="F17" s="1079"/>
      <c r="G17" s="1079"/>
      <c r="H17" s="1079"/>
      <c r="I17" s="1079"/>
      <c r="J17" s="1079"/>
      <c r="K17" s="1079"/>
      <c r="L17" s="1231">
        <v>1.79</v>
      </c>
      <c r="M17" s="1229">
        <v>1.6</v>
      </c>
      <c r="N17" s="1229">
        <v>16</v>
      </c>
      <c r="Q17" s="1082" t="s">
        <v>1196</v>
      </c>
      <c r="R17" s="1228">
        <v>2</v>
      </c>
      <c r="S17" s="1228">
        <v>24</v>
      </c>
      <c r="T17" s="1228" t="s">
        <v>18</v>
      </c>
      <c r="U17" s="1082" t="s">
        <v>1196</v>
      </c>
      <c r="V17" s="1228">
        <v>4</v>
      </c>
      <c r="W17" s="1228">
        <v>22</v>
      </c>
      <c r="X17" s="1228" t="s">
        <v>18</v>
      </c>
    </row>
    <row r="18" spans="1:24" x14ac:dyDescent="0.25">
      <c r="A18" s="1231">
        <v>1.9</v>
      </c>
      <c r="B18" s="1229">
        <v>1.7</v>
      </c>
      <c r="C18" s="1229">
        <v>17</v>
      </c>
      <c r="D18" s="1079"/>
      <c r="E18" s="1079"/>
      <c r="F18" s="1079"/>
      <c r="G18" s="1079"/>
      <c r="H18" s="1079"/>
      <c r="I18" s="1079"/>
      <c r="J18" s="1079"/>
      <c r="K18" s="1079"/>
      <c r="L18" s="1231">
        <v>1.9</v>
      </c>
      <c r="M18" s="1229">
        <v>1.7</v>
      </c>
      <c r="N18" s="1229">
        <v>17</v>
      </c>
      <c r="Q18" s="1082" t="s">
        <v>1197</v>
      </c>
      <c r="R18" s="1228">
        <v>2</v>
      </c>
      <c r="S18" s="1228">
        <v>24</v>
      </c>
      <c r="T18" s="1228" t="s">
        <v>18</v>
      </c>
      <c r="U18" s="1082" t="s">
        <v>1197</v>
      </c>
      <c r="V18" s="1228">
        <v>4</v>
      </c>
      <c r="W18" s="1228">
        <v>22</v>
      </c>
      <c r="X18" s="1228" t="s">
        <v>18</v>
      </c>
    </row>
    <row r="19" spans="1:24" x14ac:dyDescent="0.25">
      <c r="A19" s="1233">
        <v>2</v>
      </c>
      <c r="B19" s="1229">
        <v>1.8</v>
      </c>
      <c r="C19" s="1229">
        <v>18</v>
      </c>
      <c r="D19" s="1079"/>
      <c r="E19" s="1079"/>
      <c r="F19" s="1079"/>
      <c r="G19" s="1079"/>
      <c r="H19" s="1079"/>
      <c r="I19" s="1079"/>
      <c r="J19" s="1079"/>
      <c r="K19" s="1079"/>
      <c r="L19" s="1231">
        <v>2.0099999999999998</v>
      </c>
      <c r="M19" s="1229">
        <v>1.8</v>
      </c>
      <c r="N19" s="1229">
        <v>18</v>
      </c>
      <c r="Q19" s="1082" t="s">
        <v>1198</v>
      </c>
      <c r="R19" s="1228">
        <v>2</v>
      </c>
      <c r="S19" s="1228">
        <v>24</v>
      </c>
      <c r="T19" s="1228" t="s">
        <v>18</v>
      </c>
      <c r="U19" s="1082" t="s">
        <v>1198</v>
      </c>
      <c r="V19" s="1228">
        <v>4</v>
      </c>
      <c r="W19" s="1228">
        <v>22</v>
      </c>
      <c r="X19" s="1228" t="s">
        <v>18</v>
      </c>
    </row>
    <row r="20" spans="1:24" x14ac:dyDescent="0.25">
      <c r="A20" s="1231">
        <v>2.1199999999999997</v>
      </c>
      <c r="B20" s="1229">
        <v>1.9</v>
      </c>
      <c r="C20" s="1229">
        <v>19</v>
      </c>
      <c r="D20" s="1079"/>
      <c r="E20" s="1079"/>
      <c r="F20" s="1079"/>
      <c r="G20" s="1079"/>
      <c r="H20" s="1079"/>
      <c r="I20" s="1079"/>
      <c r="J20" s="1079"/>
      <c r="K20" s="1079"/>
      <c r="L20" s="1231">
        <f t="shared" ref="L20:L28" si="0">L19+0.11</f>
        <v>2.1199999999999997</v>
      </c>
      <c r="M20" s="1229">
        <v>1.9</v>
      </c>
      <c r="N20" s="1229">
        <v>19</v>
      </c>
      <c r="Q20" s="1082" t="s">
        <v>1199</v>
      </c>
      <c r="R20" s="1228">
        <v>2</v>
      </c>
      <c r="S20" s="1228">
        <v>30</v>
      </c>
      <c r="T20" s="1228" t="s">
        <v>18</v>
      </c>
      <c r="U20" s="1082" t="s">
        <v>1199</v>
      </c>
      <c r="V20" s="1228">
        <v>4</v>
      </c>
      <c r="W20" s="1228">
        <v>28</v>
      </c>
      <c r="X20" s="1228" t="s">
        <v>18</v>
      </c>
    </row>
    <row r="21" spans="1:24" x14ac:dyDescent="0.25">
      <c r="A21" s="1231">
        <v>2.2299999999999995</v>
      </c>
      <c r="B21" s="1229">
        <v>2</v>
      </c>
      <c r="C21" s="1229">
        <v>20</v>
      </c>
      <c r="D21" s="1079"/>
      <c r="E21" s="1079"/>
      <c r="F21" s="1079"/>
      <c r="G21" s="1079"/>
      <c r="H21" s="1079"/>
      <c r="I21" s="1079"/>
      <c r="J21" s="1079"/>
      <c r="K21" s="1079"/>
      <c r="L21" s="1231">
        <f t="shared" si="0"/>
        <v>2.2299999999999995</v>
      </c>
      <c r="M21" s="1229">
        <v>2</v>
      </c>
      <c r="N21" s="1229">
        <v>20</v>
      </c>
      <c r="Q21" s="1082" t="s">
        <v>1200</v>
      </c>
      <c r="R21" s="1228">
        <v>2</v>
      </c>
      <c r="S21" s="1228">
        <v>30</v>
      </c>
      <c r="T21" s="1228" t="s">
        <v>18</v>
      </c>
      <c r="U21" s="1082" t="s">
        <v>1200</v>
      </c>
      <c r="V21" s="1228">
        <v>4</v>
      </c>
      <c r="W21" s="1228">
        <v>28</v>
      </c>
      <c r="X21" s="1228" t="s">
        <v>18</v>
      </c>
    </row>
    <row r="22" spans="1:24" x14ac:dyDescent="0.25">
      <c r="A22" s="1231">
        <v>2.3399999999999994</v>
      </c>
      <c r="B22" s="1229">
        <v>2.1</v>
      </c>
      <c r="C22" s="1229">
        <v>21</v>
      </c>
      <c r="D22" s="1079"/>
      <c r="E22" s="1079"/>
      <c r="F22" s="1079"/>
      <c r="G22" s="1079"/>
      <c r="H22" s="1079"/>
      <c r="I22" s="1079"/>
      <c r="J22" s="1079"/>
      <c r="K22" s="1079"/>
      <c r="L22" s="1231">
        <f t="shared" si="0"/>
        <v>2.3399999999999994</v>
      </c>
      <c r="M22" s="1229">
        <v>2.1</v>
      </c>
      <c r="N22" s="1229">
        <v>21</v>
      </c>
      <c r="Q22" s="1082" t="s">
        <v>1201</v>
      </c>
      <c r="R22" s="1228">
        <v>2</v>
      </c>
      <c r="S22" s="1228">
        <v>30</v>
      </c>
      <c r="T22" s="1228" t="s">
        <v>18</v>
      </c>
      <c r="U22" s="1082" t="s">
        <v>1201</v>
      </c>
      <c r="V22" s="1228">
        <v>4</v>
      </c>
      <c r="W22" s="1228">
        <v>28</v>
      </c>
      <c r="X22" s="1228" t="s">
        <v>18</v>
      </c>
    </row>
    <row r="23" spans="1:24" x14ac:dyDescent="0.25">
      <c r="A23" s="1231">
        <v>2.4499999999999993</v>
      </c>
      <c r="B23" s="1229">
        <v>2.2000000000000002</v>
      </c>
      <c r="C23" s="1229">
        <v>22</v>
      </c>
      <c r="D23" s="1079"/>
      <c r="E23" s="1079"/>
      <c r="F23" s="1079"/>
      <c r="G23" s="1079"/>
      <c r="H23" s="1079"/>
      <c r="I23" s="1079"/>
      <c r="J23" s="1079"/>
      <c r="K23" s="1079"/>
      <c r="L23" s="1231">
        <f t="shared" si="0"/>
        <v>2.4499999999999993</v>
      </c>
      <c r="M23" s="1229">
        <v>2.2000000000000002</v>
      </c>
      <c r="N23" s="1229">
        <v>22</v>
      </c>
      <c r="Q23" s="1082" t="s">
        <v>1202</v>
      </c>
      <c r="R23" s="1228">
        <v>2</v>
      </c>
      <c r="S23" s="1228">
        <v>38</v>
      </c>
      <c r="T23" s="1228" t="s">
        <v>18</v>
      </c>
      <c r="U23" s="1082" t="s">
        <v>1202</v>
      </c>
      <c r="V23" s="1228">
        <v>2</v>
      </c>
      <c r="W23" s="1228">
        <v>38</v>
      </c>
      <c r="X23" s="1228" t="s">
        <v>18</v>
      </c>
    </row>
    <row r="24" spans="1:24" x14ac:dyDescent="0.25">
      <c r="A24" s="1231">
        <v>2.5599999999999992</v>
      </c>
      <c r="B24" s="1229">
        <v>2.2999999999999998</v>
      </c>
      <c r="C24" s="1229">
        <v>23</v>
      </c>
      <c r="D24" s="1079"/>
      <c r="E24" s="1079"/>
      <c r="F24" s="1079"/>
      <c r="G24" s="1079"/>
      <c r="H24" s="1079"/>
      <c r="I24" s="1079"/>
      <c r="J24" s="1079"/>
      <c r="K24" s="1079"/>
      <c r="L24" s="1231">
        <f t="shared" si="0"/>
        <v>2.5599999999999992</v>
      </c>
      <c r="M24" s="1229">
        <v>2.2999999999999998</v>
      </c>
      <c r="N24" s="1229">
        <v>23</v>
      </c>
      <c r="Q24" s="1234" t="s">
        <v>1203</v>
      </c>
      <c r="R24" s="1228">
        <v>3</v>
      </c>
      <c r="S24" s="1228">
        <v>30</v>
      </c>
      <c r="T24" s="1228">
        <v>15</v>
      </c>
      <c r="U24" s="1234" t="s">
        <v>1203</v>
      </c>
      <c r="V24" s="1228">
        <v>6</v>
      </c>
      <c r="W24" s="1228">
        <v>28</v>
      </c>
      <c r="X24" s="1228">
        <v>14</v>
      </c>
    </row>
    <row r="25" spans="1:24" x14ac:dyDescent="0.25">
      <c r="A25" s="1231">
        <v>2.669999999999999</v>
      </c>
      <c r="B25" s="1229">
        <v>2.4</v>
      </c>
      <c r="C25" s="1229">
        <v>24</v>
      </c>
      <c r="D25" s="1079"/>
      <c r="E25" s="1079"/>
      <c r="F25" s="1079"/>
      <c r="G25" s="1079"/>
      <c r="H25" s="1079"/>
      <c r="I25" s="1079"/>
      <c r="J25" s="1079"/>
      <c r="K25" s="1079"/>
      <c r="L25" s="1231">
        <f t="shared" si="0"/>
        <v>2.669999999999999</v>
      </c>
      <c r="M25" s="1229">
        <v>2.4</v>
      </c>
      <c r="N25" s="1229">
        <v>24</v>
      </c>
      <c r="Q25" s="1234" t="s">
        <v>1204</v>
      </c>
      <c r="R25" s="1228">
        <v>3</v>
      </c>
      <c r="S25" s="1228">
        <v>30</v>
      </c>
      <c r="T25" s="1228">
        <v>15</v>
      </c>
      <c r="U25" s="1234" t="s">
        <v>1204</v>
      </c>
      <c r="V25" s="1228">
        <v>6</v>
      </c>
      <c r="W25" s="1228">
        <v>28</v>
      </c>
      <c r="X25" s="1228">
        <v>14</v>
      </c>
    </row>
    <row r="26" spans="1:24" x14ac:dyDescent="0.25">
      <c r="A26" s="1231">
        <v>2.7799999999999989</v>
      </c>
      <c r="B26" s="1229">
        <v>2.5</v>
      </c>
      <c r="C26" s="1229">
        <v>25</v>
      </c>
      <c r="D26" s="1079"/>
      <c r="E26" s="1079"/>
      <c r="F26" s="1079"/>
      <c r="G26" s="1079"/>
      <c r="H26" s="1079"/>
      <c r="I26" s="1079"/>
      <c r="J26" s="1079"/>
      <c r="K26" s="1079"/>
      <c r="L26" s="1231">
        <f t="shared" si="0"/>
        <v>2.7799999999999989</v>
      </c>
      <c r="M26" s="1229">
        <v>2.5</v>
      </c>
      <c r="N26" s="1229">
        <v>25</v>
      </c>
      <c r="Q26" s="1234" t="s">
        <v>962</v>
      </c>
      <c r="R26" s="1228">
        <v>3</v>
      </c>
      <c r="S26" s="1228">
        <v>30</v>
      </c>
      <c r="T26" s="1228">
        <v>15</v>
      </c>
      <c r="U26" s="1234" t="s">
        <v>962</v>
      </c>
      <c r="V26" s="1228">
        <v>6</v>
      </c>
      <c r="W26" s="1228">
        <v>28</v>
      </c>
      <c r="X26" s="1228">
        <v>14</v>
      </c>
    </row>
    <row r="27" spans="1:24" x14ac:dyDescent="0.25">
      <c r="A27" s="1231">
        <v>2.8899999999999988</v>
      </c>
      <c r="B27" s="1229">
        <v>2.6</v>
      </c>
      <c r="C27" s="1229">
        <v>26</v>
      </c>
      <c r="D27" s="1079"/>
      <c r="E27" s="1079"/>
      <c r="F27" s="1079"/>
      <c r="G27" s="1079"/>
      <c r="H27" s="1079"/>
      <c r="I27" s="1079"/>
      <c r="J27" s="1079"/>
      <c r="K27" s="1079"/>
      <c r="L27" s="1231">
        <f t="shared" si="0"/>
        <v>2.8899999999999988</v>
      </c>
      <c r="M27" s="1229">
        <v>2.6</v>
      </c>
      <c r="N27" s="1229">
        <v>26</v>
      </c>
    </row>
    <row r="28" spans="1:24" x14ac:dyDescent="0.25">
      <c r="A28" s="1231">
        <v>2.9999999999999987</v>
      </c>
      <c r="B28" s="1229">
        <v>2.7</v>
      </c>
      <c r="C28" s="1229">
        <v>27</v>
      </c>
      <c r="D28" s="1079"/>
      <c r="E28" s="1079"/>
      <c r="F28" s="1079"/>
      <c r="G28" s="1079"/>
      <c r="H28" s="1079"/>
      <c r="I28" s="1079"/>
      <c r="J28" s="1079"/>
      <c r="K28" s="1079"/>
      <c r="L28" s="1231">
        <f t="shared" si="0"/>
        <v>2.9999999999999987</v>
      </c>
      <c r="M28" s="1229">
        <v>2.7</v>
      </c>
      <c r="N28" s="1229">
        <v>27</v>
      </c>
    </row>
    <row r="29" spans="1:24" x14ac:dyDescent="0.25">
      <c r="A29" s="1231"/>
      <c r="B29" s="1229">
        <v>2.8</v>
      </c>
      <c r="C29" s="1229">
        <v>28</v>
      </c>
      <c r="D29" s="1079"/>
      <c r="E29" s="1079"/>
      <c r="F29" s="1079"/>
      <c r="G29" s="1079"/>
      <c r="H29" s="1079"/>
      <c r="I29" s="1079"/>
      <c r="J29" s="1079"/>
      <c r="K29" s="1079"/>
      <c r="L29" s="1231"/>
      <c r="M29" s="1229">
        <v>2.8</v>
      </c>
      <c r="N29" s="1229">
        <v>28</v>
      </c>
    </row>
    <row r="30" spans="1:24" x14ac:dyDescent="0.25">
      <c r="A30" s="1231"/>
      <c r="B30" s="1229">
        <v>2.9</v>
      </c>
      <c r="C30" s="1229">
        <v>29</v>
      </c>
      <c r="D30" s="1079"/>
      <c r="E30" s="1079"/>
      <c r="F30" s="1079"/>
      <c r="G30" s="1079"/>
      <c r="H30" s="1079"/>
      <c r="I30" s="1079"/>
      <c r="J30" s="1079"/>
      <c r="K30" s="1079"/>
      <c r="L30" s="1231"/>
      <c r="M30" s="1229">
        <v>2.9</v>
      </c>
      <c r="N30" s="1229">
        <v>29</v>
      </c>
    </row>
    <row r="31" spans="1:24" x14ac:dyDescent="0.25">
      <c r="A31" s="1231"/>
      <c r="B31" s="1229">
        <v>3</v>
      </c>
      <c r="C31" s="1229">
        <v>30</v>
      </c>
      <c r="D31" s="1079"/>
      <c r="E31" s="1079"/>
      <c r="F31" s="1079"/>
      <c r="G31" s="1079"/>
      <c r="H31" s="1079"/>
      <c r="I31" s="1079"/>
      <c r="J31" s="1079"/>
      <c r="K31" s="1079"/>
      <c r="L31" s="1231"/>
      <c r="M31" s="1229">
        <v>3</v>
      </c>
      <c r="N31" s="1229">
        <v>30</v>
      </c>
    </row>
    <row r="32" spans="1:24" x14ac:dyDescent="0.25">
      <c r="A32" s="1112"/>
      <c r="B32" s="1079"/>
      <c r="C32" s="1079"/>
      <c r="D32" s="1079"/>
      <c r="E32" s="1079"/>
      <c r="F32" s="1079"/>
      <c r="G32" s="1079"/>
      <c r="H32" s="1079"/>
      <c r="I32" s="1079"/>
      <c r="J32" s="1079"/>
      <c r="K32" s="1079"/>
      <c r="L32" s="1079"/>
    </row>
    <row r="33" spans="1:29" x14ac:dyDescent="0.25">
      <c r="A33" s="1235">
        <v>1</v>
      </c>
      <c r="B33" s="1236">
        <v>2</v>
      </c>
      <c r="C33" s="1236">
        <v>3</v>
      </c>
      <c r="D33" s="1236">
        <v>4</v>
      </c>
      <c r="E33" s="1236">
        <v>5</v>
      </c>
      <c r="F33" s="1236">
        <v>6</v>
      </c>
      <c r="G33" s="1236">
        <v>7</v>
      </c>
      <c r="H33" s="1236">
        <v>8</v>
      </c>
      <c r="I33" s="1236">
        <v>9</v>
      </c>
      <c r="J33" s="1236">
        <v>10</v>
      </c>
      <c r="K33" s="1236">
        <v>11</v>
      </c>
      <c r="L33" s="1236">
        <v>12</v>
      </c>
      <c r="M33" s="1236">
        <v>13</v>
      </c>
      <c r="N33" s="1236">
        <v>14</v>
      </c>
      <c r="O33" s="1236">
        <v>15</v>
      </c>
      <c r="P33" s="1236">
        <v>16</v>
      </c>
      <c r="Q33" s="1236">
        <v>17</v>
      </c>
      <c r="R33" s="1236">
        <v>18</v>
      </c>
      <c r="S33" s="1236">
        <v>19</v>
      </c>
      <c r="T33" s="1236">
        <v>20</v>
      </c>
      <c r="U33" s="1236">
        <v>21</v>
      </c>
      <c r="V33" s="1236">
        <v>22</v>
      </c>
      <c r="W33" s="1236">
        <v>23</v>
      </c>
      <c r="X33" s="1236">
        <v>24</v>
      </c>
      <c r="Y33" s="1236">
        <v>25</v>
      </c>
      <c r="Z33" s="1236">
        <v>26</v>
      </c>
      <c r="AA33" s="1236">
        <v>27</v>
      </c>
      <c r="AB33" s="1236">
        <v>28</v>
      </c>
      <c r="AC33" s="1236">
        <v>29</v>
      </c>
    </row>
    <row r="34" spans="1:29" ht="25.5" x14ac:dyDescent="0.25">
      <c r="A34" s="1237" t="s">
        <v>1205</v>
      </c>
      <c r="B34" s="1238" t="s">
        <v>1206</v>
      </c>
      <c r="C34" s="1238" t="s">
        <v>1207</v>
      </c>
      <c r="D34" s="1238" t="s">
        <v>1208</v>
      </c>
      <c r="E34" s="1238" t="s">
        <v>1209</v>
      </c>
      <c r="F34" s="1238" t="s">
        <v>1210</v>
      </c>
      <c r="G34" s="1238" t="s">
        <v>1211</v>
      </c>
      <c r="H34" s="1238" t="s">
        <v>1212</v>
      </c>
      <c r="I34" s="1238" t="s">
        <v>988</v>
      </c>
      <c r="J34" s="1238" t="s">
        <v>989</v>
      </c>
      <c r="K34" s="1238" t="s">
        <v>990</v>
      </c>
      <c r="L34" s="1238" t="s">
        <v>1213</v>
      </c>
      <c r="M34" s="1238" t="s">
        <v>1214</v>
      </c>
      <c r="N34" s="1238" t="s">
        <v>1215</v>
      </c>
      <c r="O34" s="1238" t="s">
        <v>1216</v>
      </c>
      <c r="P34" s="1238" t="s">
        <v>1217</v>
      </c>
      <c r="Q34" s="1238" t="s">
        <v>1218</v>
      </c>
      <c r="R34" s="1239"/>
    </row>
    <row r="35" spans="1:29" x14ac:dyDescent="0.25">
      <c r="A35" s="1240" t="s">
        <v>959</v>
      </c>
      <c r="B35" s="1241">
        <v>0</v>
      </c>
      <c r="C35" s="1242">
        <v>0</v>
      </c>
      <c r="D35" s="1242" t="s">
        <v>18</v>
      </c>
      <c r="E35" s="1241">
        <v>0</v>
      </c>
      <c r="F35" s="1242" t="s">
        <v>18</v>
      </c>
      <c r="G35" s="1241">
        <v>0</v>
      </c>
      <c r="H35" s="1242" t="s">
        <v>18</v>
      </c>
      <c r="I35" s="1241">
        <v>0</v>
      </c>
      <c r="J35" s="1241">
        <v>0</v>
      </c>
      <c r="K35" s="1241">
        <v>0</v>
      </c>
      <c r="L35" s="1241">
        <v>0</v>
      </c>
      <c r="M35" s="1241">
        <v>0</v>
      </c>
      <c r="N35" s="1241">
        <v>0</v>
      </c>
      <c r="O35" s="1243">
        <v>0</v>
      </c>
      <c r="P35" s="1243">
        <v>0</v>
      </c>
      <c r="Q35" s="1241">
        <v>0</v>
      </c>
      <c r="R35" s="1239"/>
    </row>
    <row r="36" spans="1:29" x14ac:dyDescent="0.25">
      <c r="A36" s="1240" t="s">
        <v>1183</v>
      </c>
      <c r="B36" s="1241">
        <v>13</v>
      </c>
      <c r="C36" s="1242">
        <v>15</v>
      </c>
      <c r="D36" s="1242">
        <v>0.86</v>
      </c>
      <c r="E36" s="1241">
        <v>2</v>
      </c>
      <c r="F36" s="1242">
        <v>1.5</v>
      </c>
      <c r="G36" s="1241">
        <v>1</v>
      </c>
      <c r="H36" s="1242">
        <v>0.86</v>
      </c>
      <c r="I36" s="1241">
        <v>1</v>
      </c>
      <c r="J36" s="1241">
        <v>0</v>
      </c>
      <c r="K36" s="1241">
        <v>0</v>
      </c>
      <c r="L36" s="1241">
        <v>24</v>
      </c>
      <c r="M36" s="1241">
        <v>32</v>
      </c>
      <c r="N36" s="1241">
        <v>1.68</v>
      </c>
      <c r="O36" s="1243">
        <v>1</v>
      </c>
      <c r="P36" s="1243">
        <v>2</v>
      </c>
      <c r="Q36" s="1241">
        <v>12</v>
      </c>
      <c r="R36" s="1239"/>
    </row>
    <row r="37" spans="1:29" x14ac:dyDescent="0.25">
      <c r="A37" s="1240" t="s">
        <v>1184</v>
      </c>
      <c r="B37" s="1241">
        <v>13</v>
      </c>
      <c r="C37" s="1242">
        <v>15</v>
      </c>
      <c r="D37" s="1242">
        <v>1.37</v>
      </c>
      <c r="E37" s="1241">
        <v>2</v>
      </c>
      <c r="F37" s="1242">
        <v>1.5</v>
      </c>
      <c r="G37" s="1241">
        <v>1</v>
      </c>
      <c r="H37" s="1242">
        <v>1.37</v>
      </c>
      <c r="I37" s="1241">
        <v>1</v>
      </c>
      <c r="J37" s="1241">
        <v>0</v>
      </c>
      <c r="K37" s="1241">
        <v>0</v>
      </c>
      <c r="L37" s="1241">
        <v>24</v>
      </c>
      <c r="M37" s="1241">
        <v>32</v>
      </c>
      <c r="N37" s="1241">
        <v>1.68</v>
      </c>
      <c r="O37" s="1243">
        <v>1</v>
      </c>
      <c r="P37" s="1243">
        <v>2</v>
      </c>
      <c r="Q37" s="1241">
        <v>12</v>
      </c>
      <c r="R37" s="1239"/>
    </row>
    <row r="38" spans="1:29" x14ac:dyDescent="0.25">
      <c r="A38" s="1240" t="s">
        <v>1185</v>
      </c>
      <c r="B38" s="1241">
        <v>16</v>
      </c>
      <c r="C38" s="1242">
        <v>18</v>
      </c>
      <c r="D38" s="1242">
        <v>0.86</v>
      </c>
      <c r="E38" s="1241">
        <v>2</v>
      </c>
      <c r="F38" s="1242">
        <v>1.83</v>
      </c>
      <c r="G38" s="1241">
        <v>1</v>
      </c>
      <c r="H38" s="1242">
        <v>0.86</v>
      </c>
      <c r="I38" s="1241">
        <v>0</v>
      </c>
      <c r="J38" s="1241">
        <v>1</v>
      </c>
      <c r="K38" s="1241">
        <v>0</v>
      </c>
      <c r="L38" s="1241">
        <v>26</v>
      </c>
      <c r="M38" s="1241">
        <v>34</v>
      </c>
      <c r="N38" s="1241">
        <v>2</v>
      </c>
      <c r="O38" s="1243">
        <v>1</v>
      </c>
      <c r="P38" s="1243">
        <v>2</v>
      </c>
      <c r="Q38" s="1241">
        <v>15</v>
      </c>
      <c r="R38" s="1239"/>
    </row>
    <row r="39" spans="1:29" x14ac:dyDescent="0.25">
      <c r="A39" s="1240" t="s">
        <v>1186</v>
      </c>
      <c r="B39" s="1241">
        <v>16</v>
      </c>
      <c r="C39" s="1242">
        <v>18</v>
      </c>
      <c r="D39" s="1242">
        <v>0.88</v>
      </c>
      <c r="E39" s="1241">
        <v>2</v>
      </c>
      <c r="F39" s="1242">
        <v>1.83</v>
      </c>
      <c r="G39" s="1241">
        <v>1</v>
      </c>
      <c r="H39" s="1242">
        <v>0.86</v>
      </c>
      <c r="I39" s="1241">
        <v>0</v>
      </c>
      <c r="J39" s="1241">
        <v>0</v>
      </c>
      <c r="K39" s="1241">
        <v>0</v>
      </c>
      <c r="L39" s="1241">
        <v>26</v>
      </c>
      <c r="M39" s="1241">
        <v>34</v>
      </c>
      <c r="N39" s="1241">
        <v>2</v>
      </c>
      <c r="O39" s="1243">
        <v>1</v>
      </c>
      <c r="P39" s="1243">
        <v>2</v>
      </c>
      <c r="Q39" s="1241">
        <v>15</v>
      </c>
      <c r="R39" s="1239"/>
    </row>
    <row r="40" spans="1:29" x14ac:dyDescent="0.25">
      <c r="A40" s="1240" t="s">
        <v>1187</v>
      </c>
      <c r="B40" s="1241">
        <v>16</v>
      </c>
      <c r="C40" s="1242">
        <v>18</v>
      </c>
      <c r="D40" s="1242">
        <v>1.37</v>
      </c>
      <c r="E40" s="1241">
        <v>2</v>
      </c>
      <c r="F40" s="1242">
        <v>1.83</v>
      </c>
      <c r="G40" s="1241">
        <v>1</v>
      </c>
      <c r="H40" s="1242">
        <v>1.37</v>
      </c>
      <c r="I40" s="1241">
        <v>0</v>
      </c>
      <c r="J40" s="1241">
        <v>1</v>
      </c>
      <c r="K40" s="1241">
        <v>0</v>
      </c>
      <c r="L40" s="1241">
        <v>26</v>
      </c>
      <c r="M40" s="1241">
        <v>34</v>
      </c>
      <c r="N40" s="1241">
        <v>2</v>
      </c>
      <c r="O40" s="1243">
        <v>1</v>
      </c>
      <c r="P40" s="1243">
        <v>2</v>
      </c>
      <c r="Q40" s="1241">
        <v>15</v>
      </c>
      <c r="R40" s="1239"/>
    </row>
    <row r="41" spans="1:29" x14ac:dyDescent="0.25">
      <c r="A41" s="1240" t="s">
        <v>1188</v>
      </c>
      <c r="B41" s="1241">
        <v>20</v>
      </c>
      <c r="C41" s="1242">
        <v>23</v>
      </c>
      <c r="D41" s="1242">
        <v>0.86</v>
      </c>
      <c r="E41" s="1241">
        <v>2</v>
      </c>
      <c r="F41" s="1242">
        <v>2.33</v>
      </c>
      <c r="G41" s="1241">
        <v>1</v>
      </c>
      <c r="H41" s="1242">
        <v>0.86</v>
      </c>
      <c r="I41" s="1241">
        <v>0</v>
      </c>
      <c r="J41" s="1241">
        <v>0</v>
      </c>
      <c r="K41" s="1241">
        <v>1</v>
      </c>
      <c r="L41" s="1241">
        <v>100</v>
      </c>
      <c r="M41" s="1241">
        <v>112</v>
      </c>
      <c r="N41" s="1241">
        <v>2.5</v>
      </c>
      <c r="O41" s="1243">
        <v>2</v>
      </c>
      <c r="P41" s="1243">
        <v>0</v>
      </c>
      <c r="Q41" s="1241">
        <v>21</v>
      </c>
      <c r="R41" s="1239"/>
    </row>
    <row r="42" spans="1:29" ht="51" x14ac:dyDescent="0.25">
      <c r="A42" s="1244" t="s">
        <v>1219</v>
      </c>
      <c r="B42" s="1238" t="s">
        <v>1220</v>
      </c>
      <c r="C42" s="1238" t="s">
        <v>1221</v>
      </c>
      <c r="D42" s="1238" t="s">
        <v>1222</v>
      </c>
      <c r="E42" s="1238" t="s">
        <v>1209</v>
      </c>
      <c r="F42" s="1238" t="s">
        <v>1210</v>
      </c>
      <c r="G42" s="1238" t="s">
        <v>1223</v>
      </c>
      <c r="H42" s="1238" t="s">
        <v>1224</v>
      </c>
      <c r="I42" s="1238" t="s">
        <v>988</v>
      </c>
      <c r="J42" s="1238" t="s">
        <v>989</v>
      </c>
      <c r="K42" s="1238" t="s">
        <v>990</v>
      </c>
      <c r="L42" s="1238" t="s">
        <v>1213</v>
      </c>
      <c r="M42" s="1238" t="s">
        <v>1214</v>
      </c>
      <c r="N42" s="1238" t="s">
        <v>1225</v>
      </c>
      <c r="O42" s="1238" t="s">
        <v>1226</v>
      </c>
      <c r="P42" s="1238" t="s">
        <v>1227</v>
      </c>
      <c r="Q42" s="1238" t="s">
        <v>1228</v>
      </c>
      <c r="R42" s="1238" t="s">
        <v>1229</v>
      </c>
      <c r="S42" s="1245" t="s">
        <v>978</v>
      </c>
      <c r="T42" s="1238" t="s">
        <v>1215</v>
      </c>
      <c r="U42" s="1245" t="s">
        <v>964</v>
      </c>
      <c r="V42" s="1246" t="s">
        <v>1216</v>
      </c>
      <c r="W42" s="1246" t="s">
        <v>1230</v>
      </c>
      <c r="X42" s="1246" t="s">
        <v>1231</v>
      </c>
      <c r="Y42" s="1246" t="s">
        <v>1232</v>
      </c>
      <c r="Z42" s="1238" t="s">
        <v>1233</v>
      </c>
      <c r="AA42" s="1238" t="s">
        <v>1234</v>
      </c>
      <c r="AB42" s="1238" t="s">
        <v>1235</v>
      </c>
      <c r="AC42" s="1238" t="s">
        <v>1236</v>
      </c>
    </row>
    <row r="43" spans="1:29" x14ac:dyDescent="0.25">
      <c r="A43" s="1240" t="s">
        <v>959</v>
      </c>
      <c r="B43" s="1241">
        <v>0</v>
      </c>
      <c r="C43" s="1242">
        <v>0</v>
      </c>
      <c r="D43" s="1242" t="s">
        <v>18</v>
      </c>
      <c r="E43" s="1241">
        <v>0</v>
      </c>
      <c r="F43" s="1242" t="s">
        <v>18</v>
      </c>
      <c r="G43" s="1241">
        <v>0</v>
      </c>
      <c r="H43" s="1242" t="s">
        <v>18</v>
      </c>
      <c r="I43" s="1241">
        <v>0</v>
      </c>
      <c r="J43" s="1241">
        <v>0</v>
      </c>
      <c r="K43" s="1241">
        <v>0</v>
      </c>
      <c r="L43" s="1241">
        <v>0</v>
      </c>
      <c r="M43" s="1241">
        <v>0</v>
      </c>
      <c r="N43" s="1241">
        <v>0</v>
      </c>
      <c r="O43" s="1241">
        <v>0</v>
      </c>
      <c r="P43" s="1241">
        <v>0</v>
      </c>
      <c r="Q43" s="1241">
        <v>0</v>
      </c>
      <c r="R43" s="1241">
        <v>0</v>
      </c>
      <c r="S43" s="1241">
        <v>0</v>
      </c>
      <c r="T43" s="1247">
        <v>0</v>
      </c>
      <c r="U43" s="1241">
        <v>0</v>
      </c>
      <c r="V43" s="1241">
        <v>0</v>
      </c>
      <c r="W43" s="1241">
        <v>0</v>
      </c>
      <c r="X43" s="1241">
        <v>0</v>
      </c>
      <c r="Y43" s="1241">
        <v>0</v>
      </c>
      <c r="Z43" s="1241">
        <v>0</v>
      </c>
      <c r="AA43" s="1242" t="s">
        <v>18</v>
      </c>
      <c r="AB43" s="1241">
        <v>0</v>
      </c>
      <c r="AC43" s="1241">
        <v>0</v>
      </c>
    </row>
    <row r="44" spans="1:29" x14ac:dyDescent="0.25">
      <c r="A44" s="1240" t="s">
        <v>1190</v>
      </c>
      <c r="B44" s="1241">
        <v>26</v>
      </c>
      <c r="C44" s="1242">
        <v>30</v>
      </c>
      <c r="D44" s="1242">
        <v>1.67</v>
      </c>
      <c r="E44" s="1241">
        <v>4</v>
      </c>
      <c r="F44" s="1242">
        <v>1.5</v>
      </c>
      <c r="G44" s="1241">
        <v>2</v>
      </c>
      <c r="H44" s="1242">
        <v>1.67</v>
      </c>
      <c r="I44" s="1241">
        <v>2</v>
      </c>
      <c r="J44" s="1241">
        <v>0</v>
      </c>
      <c r="K44" s="1241">
        <v>0</v>
      </c>
      <c r="L44" s="1241">
        <v>50</v>
      </c>
      <c r="M44" s="1241">
        <v>66</v>
      </c>
      <c r="N44" s="1241">
        <v>0</v>
      </c>
      <c r="O44" s="1241">
        <v>0</v>
      </c>
      <c r="P44" s="1241">
        <v>0</v>
      </c>
      <c r="Q44" s="1241">
        <v>0</v>
      </c>
      <c r="R44" s="1241">
        <v>0</v>
      </c>
      <c r="S44" s="1241">
        <v>2</v>
      </c>
      <c r="T44" s="1241">
        <v>1.68</v>
      </c>
      <c r="U44" s="1241">
        <v>2</v>
      </c>
      <c r="V44" s="1241">
        <v>2</v>
      </c>
      <c r="W44" s="1241">
        <v>2</v>
      </c>
      <c r="X44" s="1241">
        <v>4</v>
      </c>
      <c r="Y44" s="1241">
        <v>0</v>
      </c>
      <c r="Z44" s="1241">
        <v>24</v>
      </c>
      <c r="AA44" s="1242">
        <v>1.67</v>
      </c>
      <c r="AB44" s="1241">
        <v>0</v>
      </c>
      <c r="AC44" s="1241">
        <v>0</v>
      </c>
    </row>
    <row r="45" spans="1:29" x14ac:dyDescent="0.25">
      <c r="A45" s="1240" t="s">
        <v>1191</v>
      </c>
      <c r="B45" s="1241">
        <v>26</v>
      </c>
      <c r="C45" s="1242">
        <v>30</v>
      </c>
      <c r="D45" s="1242">
        <v>1.88</v>
      </c>
      <c r="E45" s="1241">
        <v>4</v>
      </c>
      <c r="F45" s="1242">
        <v>1.5</v>
      </c>
      <c r="G45" s="1241">
        <v>2</v>
      </c>
      <c r="H45" s="1242">
        <v>1.88</v>
      </c>
      <c r="I45" s="1241">
        <v>0</v>
      </c>
      <c r="J45" s="1241">
        <v>0</v>
      </c>
      <c r="K45" s="1241">
        <v>0</v>
      </c>
      <c r="L45" s="1241">
        <v>50</v>
      </c>
      <c r="M45" s="1241">
        <v>66</v>
      </c>
      <c r="N45" s="1241">
        <v>0</v>
      </c>
      <c r="O45" s="1241">
        <v>0</v>
      </c>
      <c r="P45" s="1241">
        <v>0</v>
      </c>
      <c r="Q45" s="1241">
        <v>0</v>
      </c>
      <c r="R45" s="1241">
        <v>0</v>
      </c>
      <c r="S45" s="1241">
        <v>2</v>
      </c>
      <c r="T45" s="1241">
        <v>1.68</v>
      </c>
      <c r="U45" s="1241">
        <v>2</v>
      </c>
      <c r="V45" s="1241">
        <v>2</v>
      </c>
      <c r="W45" s="1241">
        <v>2</v>
      </c>
      <c r="X45" s="1241">
        <v>4</v>
      </c>
      <c r="Y45" s="1241">
        <v>0</v>
      </c>
      <c r="Z45" s="1241">
        <v>24</v>
      </c>
      <c r="AA45" s="1242">
        <v>1.88</v>
      </c>
      <c r="AB45" s="1241">
        <v>0</v>
      </c>
      <c r="AC45" s="1241">
        <v>0</v>
      </c>
    </row>
    <row r="46" spans="1:29" x14ac:dyDescent="0.25">
      <c r="A46" s="1240" t="s">
        <v>1192</v>
      </c>
      <c r="B46" s="1241">
        <v>32</v>
      </c>
      <c r="C46" s="1242">
        <v>36</v>
      </c>
      <c r="D46" s="1242">
        <v>1.88</v>
      </c>
      <c r="E46" s="1241">
        <v>4</v>
      </c>
      <c r="F46" s="1242">
        <v>1.83</v>
      </c>
      <c r="G46" s="1241">
        <v>2</v>
      </c>
      <c r="H46" s="1242">
        <v>1.87</v>
      </c>
      <c r="I46" s="1241">
        <v>0</v>
      </c>
      <c r="J46" s="1241">
        <v>0</v>
      </c>
      <c r="K46" s="1241">
        <v>0</v>
      </c>
      <c r="L46" s="1241">
        <v>54</v>
      </c>
      <c r="M46" s="1241">
        <v>70</v>
      </c>
      <c r="N46" s="1241">
        <v>0</v>
      </c>
      <c r="O46" s="1241">
        <v>0</v>
      </c>
      <c r="P46" s="1241">
        <v>0</v>
      </c>
      <c r="Q46" s="1241">
        <v>0</v>
      </c>
      <c r="R46" s="1241">
        <v>0</v>
      </c>
      <c r="S46" s="1241">
        <v>2</v>
      </c>
      <c r="T46" s="1241">
        <v>2</v>
      </c>
      <c r="U46" s="1241">
        <v>2</v>
      </c>
      <c r="V46" s="1241">
        <v>2</v>
      </c>
      <c r="W46" s="1241">
        <v>2</v>
      </c>
      <c r="X46" s="1241">
        <v>2</v>
      </c>
      <c r="Y46" s="1241">
        <v>0</v>
      </c>
      <c r="Z46" s="1241">
        <v>32</v>
      </c>
      <c r="AA46" s="1242">
        <v>1.88</v>
      </c>
      <c r="AB46" s="1241">
        <v>0</v>
      </c>
      <c r="AC46" s="1241">
        <v>0</v>
      </c>
    </row>
    <row r="47" spans="1:29" x14ac:dyDescent="0.25">
      <c r="A47" s="1240" t="s">
        <v>1193</v>
      </c>
      <c r="B47" s="1241">
        <v>26</v>
      </c>
      <c r="C47" s="1242">
        <v>30</v>
      </c>
      <c r="D47" s="1242">
        <v>1.86</v>
      </c>
      <c r="E47" s="1241">
        <v>4</v>
      </c>
      <c r="F47" s="1242">
        <v>1.5</v>
      </c>
      <c r="G47" s="1241">
        <v>2</v>
      </c>
      <c r="H47" s="1242">
        <v>1.87</v>
      </c>
      <c r="I47" s="1241">
        <v>2</v>
      </c>
      <c r="J47" s="1241">
        <v>0</v>
      </c>
      <c r="K47" s="1241">
        <v>0</v>
      </c>
      <c r="L47" s="1241">
        <v>50</v>
      </c>
      <c r="M47" s="1241">
        <v>66</v>
      </c>
      <c r="N47" s="1241">
        <v>0</v>
      </c>
      <c r="O47" s="1241">
        <v>0</v>
      </c>
      <c r="P47" s="1241">
        <v>0</v>
      </c>
      <c r="Q47" s="1241">
        <v>0</v>
      </c>
      <c r="R47" s="1241">
        <v>0</v>
      </c>
      <c r="S47" s="1241">
        <v>2</v>
      </c>
      <c r="T47" s="1241">
        <v>1.68</v>
      </c>
      <c r="U47" s="1241">
        <v>2</v>
      </c>
      <c r="V47" s="1241">
        <v>2</v>
      </c>
      <c r="W47" s="1241">
        <v>2</v>
      </c>
      <c r="X47" s="1241">
        <v>4</v>
      </c>
      <c r="Y47" s="1241">
        <v>0</v>
      </c>
      <c r="Z47" s="1241">
        <v>24</v>
      </c>
      <c r="AA47" s="1242">
        <v>1.86</v>
      </c>
      <c r="AB47" s="1241">
        <v>0</v>
      </c>
      <c r="AC47" s="1241">
        <v>0</v>
      </c>
    </row>
    <row r="48" spans="1:29" x14ac:dyDescent="0.25">
      <c r="A48" s="1240" t="s">
        <v>1194</v>
      </c>
      <c r="B48" s="1241">
        <v>32</v>
      </c>
      <c r="C48" s="1242">
        <v>36</v>
      </c>
      <c r="D48" s="1242">
        <v>1.67</v>
      </c>
      <c r="E48" s="1241">
        <v>4</v>
      </c>
      <c r="F48" s="1242">
        <v>1.83</v>
      </c>
      <c r="G48" s="1241">
        <v>2</v>
      </c>
      <c r="H48" s="1242">
        <v>1.67</v>
      </c>
      <c r="I48" s="1241">
        <v>0</v>
      </c>
      <c r="J48" s="1241">
        <v>2</v>
      </c>
      <c r="K48" s="1241">
        <v>0</v>
      </c>
      <c r="L48" s="1241">
        <v>54</v>
      </c>
      <c r="M48" s="1241">
        <v>70</v>
      </c>
      <c r="N48" s="1241">
        <v>0</v>
      </c>
      <c r="O48" s="1241">
        <v>0</v>
      </c>
      <c r="P48" s="1241">
        <v>0</v>
      </c>
      <c r="Q48" s="1241">
        <v>0</v>
      </c>
      <c r="R48" s="1241">
        <v>0</v>
      </c>
      <c r="S48" s="1241">
        <v>2</v>
      </c>
      <c r="T48" s="1241">
        <v>2</v>
      </c>
      <c r="U48" s="1241">
        <v>2</v>
      </c>
      <c r="V48" s="1241">
        <v>2</v>
      </c>
      <c r="W48" s="1241">
        <v>2</v>
      </c>
      <c r="X48" s="1241">
        <v>2</v>
      </c>
      <c r="Y48" s="1241">
        <v>0</v>
      </c>
      <c r="Z48" s="1241">
        <v>32</v>
      </c>
      <c r="AA48" s="1242">
        <v>1.67</v>
      </c>
      <c r="AB48" s="1241">
        <v>0</v>
      </c>
      <c r="AC48" s="1241">
        <v>0</v>
      </c>
    </row>
    <row r="49" spans="1:29" x14ac:dyDescent="0.25">
      <c r="A49" s="1240" t="s">
        <v>1195</v>
      </c>
      <c r="B49" s="1241">
        <v>32</v>
      </c>
      <c r="C49" s="1242">
        <v>36</v>
      </c>
      <c r="D49" s="1242">
        <v>1.86</v>
      </c>
      <c r="E49" s="1241">
        <v>4</v>
      </c>
      <c r="F49" s="1242">
        <v>1.83</v>
      </c>
      <c r="G49" s="1241">
        <v>2</v>
      </c>
      <c r="H49" s="1242">
        <v>1.87</v>
      </c>
      <c r="I49" s="1241">
        <v>0</v>
      </c>
      <c r="J49" s="1241">
        <v>2</v>
      </c>
      <c r="K49" s="1241">
        <v>0</v>
      </c>
      <c r="L49" s="1241">
        <v>54</v>
      </c>
      <c r="M49" s="1241">
        <v>70</v>
      </c>
      <c r="N49" s="1241">
        <v>0</v>
      </c>
      <c r="O49" s="1241">
        <v>0</v>
      </c>
      <c r="P49" s="1241">
        <v>0</v>
      </c>
      <c r="Q49" s="1241">
        <v>0</v>
      </c>
      <c r="R49" s="1241">
        <v>0</v>
      </c>
      <c r="S49" s="1241">
        <v>2</v>
      </c>
      <c r="T49" s="1241">
        <v>2</v>
      </c>
      <c r="U49" s="1241">
        <v>2</v>
      </c>
      <c r="V49" s="1241">
        <v>2</v>
      </c>
      <c r="W49" s="1241">
        <v>2</v>
      </c>
      <c r="X49" s="1241">
        <v>2</v>
      </c>
      <c r="Y49" s="1241">
        <v>0</v>
      </c>
      <c r="Z49" s="1241">
        <v>32</v>
      </c>
      <c r="AA49" s="1242">
        <v>1.86</v>
      </c>
      <c r="AB49" s="1241">
        <v>0</v>
      </c>
      <c r="AC49" s="1241">
        <v>0</v>
      </c>
    </row>
    <row r="50" spans="1:29" x14ac:dyDescent="0.25">
      <c r="A50" s="1240" t="s">
        <v>1196</v>
      </c>
      <c r="B50" s="1241">
        <v>24</v>
      </c>
      <c r="C50" s="1242">
        <v>28</v>
      </c>
      <c r="D50" s="1242">
        <v>1.67</v>
      </c>
      <c r="E50" s="1241">
        <v>4</v>
      </c>
      <c r="F50" s="1242">
        <v>1.39</v>
      </c>
      <c r="G50" s="1241">
        <v>2</v>
      </c>
      <c r="H50" s="1242">
        <v>1.67</v>
      </c>
      <c r="I50" s="1241">
        <v>0</v>
      </c>
      <c r="J50" s="1241">
        <v>0</v>
      </c>
      <c r="K50" s="1241">
        <v>0</v>
      </c>
      <c r="L50" s="1241">
        <v>34</v>
      </c>
      <c r="M50" s="1241">
        <v>50</v>
      </c>
      <c r="N50" s="1241">
        <v>0</v>
      </c>
      <c r="O50" s="1241">
        <v>0</v>
      </c>
      <c r="P50" s="1241">
        <v>0</v>
      </c>
      <c r="Q50" s="1241">
        <v>0</v>
      </c>
      <c r="R50" s="1241">
        <v>0</v>
      </c>
      <c r="S50" s="1241">
        <v>2</v>
      </c>
      <c r="T50" s="1241">
        <v>1.68</v>
      </c>
      <c r="U50" s="1241">
        <v>2</v>
      </c>
      <c r="V50" s="1241">
        <v>2</v>
      </c>
      <c r="W50" s="1241">
        <v>2</v>
      </c>
      <c r="X50" s="1241">
        <v>4</v>
      </c>
      <c r="Y50" s="1241">
        <v>0</v>
      </c>
      <c r="Z50" s="1241">
        <v>22</v>
      </c>
      <c r="AA50" s="1242">
        <v>1.67</v>
      </c>
      <c r="AB50" s="1241">
        <v>0</v>
      </c>
      <c r="AC50" s="1241">
        <v>0</v>
      </c>
    </row>
    <row r="51" spans="1:29" x14ac:dyDescent="0.25">
      <c r="A51" s="1240" t="s">
        <v>1197</v>
      </c>
      <c r="B51" s="1241">
        <v>24</v>
      </c>
      <c r="C51" s="1242">
        <v>28</v>
      </c>
      <c r="D51" s="1242">
        <v>1.93</v>
      </c>
      <c r="E51" s="1241">
        <v>4</v>
      </c>
      <c r="F51" s="1242">
        <v>1.39</v>
      </c>
      <c r="G51" s="1241">
        <v>2</v>
      </c>
      <c r="H51" s="1242">
        <v>1.93</v>
      </c>
      <c r="I51" s="1241">
        <v>0</v>
      </c>
      <c r="J51" s="1241">
        <v>0</v>
      </c>
      <c r="K51" s="1241">
        <v>0</v>
      </c>
      <c r="L51" s="1241">
        <v>34</v>
      </c>
      <c r="M51" s="1241">
        <v>50</v>
      </c>
      <c r="N51" s="1241">
        <v>0</v>
      </c>
      <c r="O51" s="1241">
        <v>0</v>
      </c>
      <c r="P51" s="1241">
        <v>0</v>
      </c>
      <c r="Q51" s="1241">
        <v>0</v>
      </c>
      <c r="R51" s="1241">
        <v>0</v>
      </c>
      <c r="S51" s="1241">
        <v>2</v>
      </c>
      <c r="T51" s="1241">
        <v>1.68</v>
      </c>
      <c r="U51" s="1241">
        <v>2</v>
      </c>
      <c r="V51" s="1241">
        <v>2</v>
      </c>
      <c r="W51" s="1241">
        <v>2</v>
      </c>
      <c r="X51" s="1241">
        <v>4</v>
      </c>
      <c r="Y51" s="1241">
        <v>0</v>
      </c>
      <c r="Z51" s="1241">
        <v>22</v>
      </c>
      <c r="AA51" s="1242">
        <v>1.93</v>
      </c>
      <c r="AB51" s="1241">
        <v>0</v>
      </c>
      <c r="AC51" s="1241">
        <v>0</v>
      </c>
    </row>
    <row r="52" spans="1:29" x14ac:dyDescent="0.25">
      <c r="A52" s="1240" t="s">
        <v>1198</v>
      </c>
      <c r="B52" s="1241">
        <v>24</v>
      </c>
      <c r="C52" s="1242">
        <v>28</v>
      </c>
      <c r="D52" s="1242">
        <v>2.13</v>
      </c>
      <c r="E52" s="1241">
        <v>4</v>
      </c>
      <c r="F52" s="1242">
        <v>1.39</v>
      </c>
      <c r="G52" s="1241">
        <v>2</v>
      </c>
      <c r="H52" s="1242">
        <v>2.13</v>
      </c>
      <c r="I52" s="1241">
        <v>0</v>
      </c>
      <c r="J52" s="1241">
        <v>0</v>
      </c>
      <c r="K52" s="1241">
        <v>0</v>
      </c>
      <c r="L52" s="1241">
        <v>36</v>
      </c>
      <c r="M52" s="1241">
        <v>52</v>
      </c>
      <c r="N52" s="1241">
        <v>0</v>
      </c>
      <c r="O52" s="1241">
        <v>0</v>
      </c>
      <c r="P52" s="1241">
        <v>0</v>
      </c>
      <c r="Q52" s="1241">
        <v>0</v>
      </c>
      <c r="R52" s="1241">
        <v>0</v>
      </c>
      <c r="S52" s="1241">
        <v>2</v>
      </c>
      <c r="T52" s="1241">
        <v>1.68</v>
      </c>
      <c r="U52" s="1241">
        <v>2</v>
      </c>
      <c r="V52" s="1241">
        <v>2</v>
      </c>
      <c r="W52" s="1241">
        <v>2</v>
      </c>
      <c r="X52" s="1241">
        <v>4</v>
      </c>
      <c r="Y52" s="1241">
        <v>0</v>
      </c>
      <c r="Z52" s="1241">
        <v>22</v>
      </c>
      <c r="AA52" s="1242">
        <v>2.13</v>
      </c>
      <c r="AB52" s="1241">
        <v>0</v>
      </c>
      <c r="AC52" s="1241">
        <v>0</v>
      </c>
    </row>
    <row r="53" spans="1:29" x14ac:dyDescent="0.25">
      <c r="A53" s="1240" t="s">
        <v>1199</v>
      </c>
      <c r="B53" s="1241">
        <v>30</v>
      </c>
      <c r="C53" s="1242">
        <v>34</v>
      </c>
      <c r="D53" s="1242">
        <v>1.67</v>
      </c>
      <c r="E53" s="1241">
        <v>4</v>
      </c>
      <c r="F53" s="1242">
        <v>1.72</v>
      </c>
      <c r="G53" s="1241">
        <v>2</v>
      </c>
      <c r="H53" s="1242">
        <v>1.67</v>
      </c>
      <c r="I53" s="1241">
        <v>0</v>
      </c>
      <c r="J53" s="1241">
        <v>0</v>
      </c>
      <c r="K53" s="1241">
        <v>0</v>
      </c>
      <c r="L53" s="1241">
        <v>38</v>
      </c>
      <c r="M53" s="1241">
        <v>54</v>
      </c>
      <c r="N53" s="1241">
        <v>0</v>
      </c>
      <c r="O53" s="1241">
        <v>0</v>
      </c>
      <c r="P53" s="1241">
        <v>0</v>
      </c>
      <c r="Q53" s="1241">
        <v>0</v>
      </c>
      <c r="R53" s="1241">
        <v>0</v>
      </c>
      <c r="S53" s="1241">
        <v>2</v>
      </c>
      <c r="T53" s="1241">
        <v>2</v>
      </c>
      <c r="U53" s="1241">
        <v>2</v>
      </c>
      <c r="V53" s="1241">
        <v>2</v>
      </c>
      <c r="W53" s="1241">
        <v>2</v>
      </c>
      <c r="X53" s="1241">
        <v>4</v>
      </c>
      <c r="Y53" s="1241">
        <v>0</v>
      </c>
      <c r="Z53" s="1241">
        <v>28</v>
      </c>
      <c r="AA53" s="1242">
        <v>1.67</v>
      </c>
      <c r="AB53" s="1241">
        <v>0</v>
      </c>
      <c r="AC53" s="1241">
        <v>0</v>
      </c>
    </row>
    <row r="54" spans="1:29" x14ac:dyDescent="0.25">
      <c r="A54" s="1240" t="s">
        <v>1200</v>
      </c>
      <c r="B54" s="1241">
        <v>30</v>
      </c>
      <c r="C54" s="1242">
        <v>34</v>
      </c>
      <c r="D54" s="1242">
        <v>1.93</v>
      </c>
      <c r="E54" s="1241">
        <v>4</v>
      </c>
      <c r="F54" s="1242">
        <v>1.72</v>
      </c>
      <c r="G54" s="1241">
        <v>2</v>
      </c>
      <c r="H54" s="1242">
        <v>1.93</v>
      </c>
      <c r="I54" s="1241">
        <v>0</v>
      </c>
      <c r="J54" s="1241">
        <v>0</v>
      </c>
      <c r="K54" s="1241">
        <v>0</v>
      </c>
      <c r="L54" s="1241">
        <v>38</v>
      </c>
      <c r="M54" s="1241">
        <v>54</v>
      </c>
      <c r="N54" s="1241">
        <v>0</v>
      </c>
      <c r="O54" s="1241">
        <v>0</v>
      </c>
      <c r="P54" s="1241">
        <v>0</v>
      </c>
      <c r="Q54" s="1241">
        <v>0</v>
      </c>
      <c r="R54" s="1241">
        <v>0</v>
      </c>
      <c r="S54" s="1241">
        <v>2</v>
      </c>
      <c r="T54" s="1241">
        <v>2</v>
      </c>
      <c r="U54" s="1241">
        <v>2</v>
      </c>
      <c r="V54" s="1241">
        <v>2</v>
      </c>
      <c r="W54" s="1241">
        <v>2</v>
      </c>
      <c r="X54" s="1241">
        <v>4</v>
      </c>
      <c r="Y54" s="1241">
        <v>0</v>
      </c>
      <c r="Z54" s="1241">
        <v>28</v>
      </c>
      <c r="AA54" s="1242">
        <v>1.93</v>
      </c>
      <c r="AB54" s="1241">
        <v>0</v>
      </c>
      <c r="AC54" s="1241">
        <v>0</v>
      </c>
    </row>
    <row r="55" spans="1:29" x14ac:dyDescent="0.25">
      <c r="A55" s="1240" t="s">
        <v>1201</v>
      </c>
      <c r="B55" s="1241">
        <v>30</v>
      </c>
      <c r="C55" s="1242">
        <v>34</v>
      </c>
      <c r="D55" s="1242">
        <v>2.13</v>
      </c>
      <c r="E55" s="1241">
        <v>4</v>
      </c>
      <c r="F55" s="1242">
        <v>1.72</v>
      </c>
      <c r="G55" s="1241">
        <v>2</v>
      </c>
      <c r="H55" s="1242">
        <v>2.13</v>
      </c>
      <c r="I55" s="1241">
        <v>0</v>
      </c>
      <c r="J55" s="1241">
        <v>0</v>
      </c>
      <c r="K55" s="1241">
        <v>0</v>
      </c>
      <c r="L55" s="1241">
        <v>40</v>
      </c>
      <c r="M55" s="1241">
        <v>56</v>
      </c>
      <c r="N55" s="1241">
        <v>0</v>
      </c>
      <c r="O55" s="1241">
        <v>0</v>
      </c>
      <c r="P55" s="1241">
        <v>0</v>
      </c>
      <c r="Q55" s="1241">
        <v>0</v>
      </c>
      <c r="R55" s="1241">
        <v>0</v>
      </c>
      <c r="S55" s="1241">
        <v>2</v>
      </c>
      <c r="T55" s="1241">
        <v>2</v>
      </c>
      <c r="U55" s="1241">
        <v>2</v>
      </c>
      <c r="V55" s="1241">
        <v>2</v>
      </c>
      <c r="W55" s="1241">
        <v>2</v>
      </c>
      <c r="X55" s="1241">
        <v>4</v>
      </c>
      <c r="Y55" s="1241">
        <v>0</v>
      </c>
      <c r="Z55" s="1241">
        <v>28</v>
      </c>
      <c r="AA55" s="1242">
        <v>2.13</v>
      </c>
      <c r="AB55" s="1241">
        <v>0</v>
      </c>
      <c r="AC55" s="1241">
        <v>0</v>
      </c>
    </row>
    <row r="56" spans="1:29" x14ac:dyDescent="0.25">
      <c r="A56" s="1240" t="s">
        <v>1202</v>
      </c>
      <c r="B56" s="1241">
        <v>38</v>
      </c>
      <c r="C56" s="1242">
        <v>44</v>
      </c>
      <c r="D56" s="1242">
        <v>1.93</v>
      </c>
      <c r="E56" s="1241">
        <v>4</v>
      </c>
      <c r="F56" s="1242">
        <v>2.1800000000000002</v>
      </c>
      <c r="G56" s="1241">
        <v>2</v>
      </c>
      <c r="H56" s="1242">
        <v>1.93</v>
      </c>
      <c r="I56" s="1241">
        <v>0</v>
      </c>
      <c r="J56" s="1241">
        <v>0</v>
      </c>
      <c r="K56" s="1241">
        <v>0</v>
      </c>
      <c r="L56" s="1241">
        <v>172</v>
      </c>
      <c r="M56" s="1241">
        <v>176</v>
      </c>
      <c r="N56" s="1241">
        <v>0</v>
      </c>
      <c r="O56" s="1241">
        <v>0</v>
      </c>
      <c r="P56" s="1241">
        <v>0</v>
      </c>
      <c r="Q56" s="1241">
        <v>0</v>
      </c>
      <c r="R56" s="1241">
        <v>0</v>
      </c>
      <c r="S56" s="1241">
        <v>2</v>
      </c>
      <c r="T56" s="1241">
        <v>2.5</v>
      </c>
      <c r="U56" s="1241">
        <v>2</v>
      </c>
      <c r="V56" s="1241">
        <v>2</v>
      </c>
      <c r="W56" s="1241">
        <v>2</v>
      </c>
      <c r="X56" s="1241">
        <v>2</v>
      </c>
      <c r="Y56" s="1241">
        <v>0</v>
      </c>
      <c r="Z56" s="1241">
        <v>38</v>
      </c>
      <c r="AA56" s="1242">
        <v>1.93</v>
      </c>
      <c r="AB56" s="1241">
        <v>0</v>
      </c>
      <c r="AC56" s="1241">
        <v>0</v>
      </c>
    </row>
    <row r="57" spans="1:29" x14ac:dyDescent="0.25">
      <c r="A57" s="1240" t="s">
        <v>1203</v>
      </c>
      <c r="B57" s="1248">
        <v>30</v>
      </c>
      <c r="C57" s="1242">
        <v>34</v>
      </c>
      <c r="D57" s="1248">
        <v>1.41</v>
      </c>
      <c r="E57" s="1242">
        <v>6</v>
      </c>
      <c r="F57" s="1242">
        <v>1.72</v>
      </c>
      <c r="G57" s="1242">
        <v>2</v>
      </c>
      <c r="H57" s="1242">
        <v>1.41</v>
      </c>
      <c r="I57" s="1242">
        <v>0</v>
      </c>
      <c r="J57" s="1242">
        <v>0</v>
      </c>
      <c r="K57" s="1242">
        <v>0</v>
      </c>
      <c r="L57" s="1242">
        <v>60</v>
      </c>
      <c r="M57" s="1242">
        <v>76</v>
      </c>
      <c r="N57" s="1249">
        <v>15</v>
      </c>
      <c r="O57" s="1250">
        <v>17</v>
      </c>
      <c r="P57" s="1249">
        <v>1.91</v>
      </c>
      <c r="Q57" s="1250">
        <v>1</v>
      </c>
      <c r="R57" s="1250">
        <v>1.91</v>
      </c>
      <c r="S57" s="1241">
        <v>3</v>
      </c>
      <c r="T57" s="1241">
        <v>2</v>
      </c>
      <c r="U57" s="1241">
        <v>3</v>
      </c>
      <c r="V57" s="1241">
        <v>2</v>
      </c>
      <c r="W57" s="1241">
        <v>1</v>
      </c>
      <c r="X57" s="1241">
        <v>4</v>
      </c>
      <c r="Y57" s="1241">
        <v>2</v>
      </c>
      <c r="Z57" s="1241">
        <v>28</v>
      </c>
      <c r="AA57" s="1248">
        <v>1.41</v>
      </c>
      <c r="AB57" s="1241">
        <v>14</v>
      </c>
      <c r="AC57" s="1249">
        <v>1.91</v>
      </c>
    </row>
    <row r="58" spans="1:29" x14ac:dyDescent="0.25">
      <c r="A58" s="1240" t="s">
        <v>1204</v>
      </c>
      <c r="B58" s="1248">
        <v>15</v>
      </c>
      <c r="C58" s="1242">
        <v>17</v>
      </c>
      <c r="D58" s="1248">
        <v>1.41</v>
      </c>
      <c r="E58" s="1242">
        <v>6</v>
      </c>
      <c r="F58" s="1242">
        <v>1.72</v>
      </c>
      <c r="G58" s="1242">
        <v>1</v>
      </c>
      <c r="H58" s="1242">
        <v>1.41</v>
      </c>
      <c r="I58" s="1242">
        <v>0</v>
      </c>
      <c r="J58" s="1242">
        <v>0</v>
      </c>
      <c r="K58" s="1242">
        <v>0</v>
      </c>
      <c r="L58" s="1242">
        <v>60</v>
      </c>
      <c r="M58" s="1242">
        <v>76</v>
      </c>
      <c r="N58" s="1249">
        <v>30</v>
      </c>
      <c r="O58" s="1250">
        <v>34</v>
      </c>
      <c r="P58" s="1249">
        <v>1.91</v>
      </c>
      <c r="Q58" s="1250">
        <v>2</v>
      </c>
      <c r="R58" s="1250">
        <v>1.91</v>
      </c>
      <c r="S58" s="1241">
        <v>3</v>
      </c>
      <c r="T58" s="1241">
        <v>2</v>
      </c>
      <c r="U58" s="1241">
        <v>3</v>
      </c>
      <c r="V58" s="1241">
        <v>1</v>
      </c>
      <c r="W58" s="1241">
        <v>2</v>
      </c>
      <c r="X58" s="1241">
        <v>2</v>
      </c>
      <c r="Y58" s="1241">
        <v>4</v>
      </c>
      <c r="Z58" s="1241">
        <v>14</v>
      </c>
      <c r="AA58" s="1248">
        <v>1.41</v>
      </c>
      <c r="AB58" s="1241">
        <v>28</v>
      </c>
      <c r="AC58" s="1249">
        <v>1.91</v>
      </c>
    </row>
    <row r="59" spans="1:29" x14ac:dyDescent="0.25">
      <c r="A59" s="1240" t="s">
        <v>962</v>
      </c>
      <c r="B59" s="1248">
        <v>45</v>
      </c>
      <c r="C59" s="1242">
        <v>51</v>
      </c>
      <c r="D59" s="1248">
        <v>1.91</v>
      </c>
      <c r="E59" s="1242">
        <v>6</v>
      </c>
      <c r="F59" s="1242">
        <v>1.72</v>
      </c>
      <c r="G59" s="1242">
        <v>3</v>
      </c>
      <c r="H59" s="1242">
        <v>1.91</v>
      </c>
      <c r="I59" s="1242">
        <v>0</v>
      </c>
      <c r="J59" s="1242">
        <v>0</v>
      </c>
      <c r="K59" s="1242">
        <v>0</v>
      </c>
      <c r="L59" s="1242">
        <v>60</v>
      </c>
      <c r="M59" s="1242">
        <v>76</v>
      </c>
      <c r="N59" s="1251">
        <v>0</v>
      </c>
      <c r="O59" s="1250">
        <v>0</v>
      </c>
      <c r="P59" s="1249">
        <v>0</v>
      </c>
      <c r="Q59" s="1241">
        <v>0</v>
      </c>
      <c r="R59" s="1241">
        <v>0</v>
      </c>
      <c r="S59" s="1241">
        <v>3</v>
      </c>
      <c r="T59" s="1241">
        <v>2</v>
      </c>
      <c r="U59" s="1241">
        <v>3</v>
      </c>
      <c r="V59" s="1241">
        <v>3</v>
      </c>
      <c r="W59" s="1241">
        <v>0</v>
      </c>
      <c r="X59" s="1241">
        <v>6</v>
      </c>
      <c r="Y59" s="1241">
        <v>0</v>
      </c>
      <c r="Z59" s="1241">
        <v>42</v>
      </c>
      <c r="AA59" s="1248">
        <v>1.91</v>
      </c>
      <c r="AB59" s="1241">
        <v>0</v>
      </c>
      <c r="AC59" s="1249">
        <v>0</v>
      </c>
    </row>
    <row r="60" spans="1:29" x14ac:dyDescent="0.25">
      <c r="A60" s="1079"/>
      <c r="B60" s="1112"/>
      <c r="C60" s="1252"/>
      <c r="D60" s="1252"/>
      <c r="E60" s="1112"/>
      <c r="F60" s="1252"/>
      <c r="G60" s="1112"/>
      <c r="H60" s="1252"/>
      <c r="I60" s="1112"/>
      <c r="J60" s="1112"/>
      <c r="K60" s="1112"/>
      <c r="L60" s="1112"/>
      <c r="M60" s="1112"/>
      <c r="N60" s="1112"/>
      <c r="O60" s="1112"/>
      <c r="P60" s="1112"/>
      <c r="Q60" s="1112"/>
      <c r="R60" s="1112"/>
    </row>
    <row r="61" spans="1:29" x14ac:dyDescent="0.25">
      <c r="A61" s="1079"/>
      <c r="B61" s="1112"/>
      <c r="C61" s="1252"/>
      <c r="D61" s="1252"/>
      <c r="E61" s="1112"/>
      <c r="F61" s="1252"/>
      <c r="G61" s="1112"/>
      <c r="H61" s="1252"/>
      <c r="I61" s="1112"/>
      <c r="J61" s="1112"/>
      <c r="K61" s="1112"/>
      <c r="L61" s="1112"/>
      <c r="M61" s="1112"/>
      <c r="N61" s="1112"/>
      <c r="O61" s="1112"/>
      <c r="P61" s="1112"/>
      <c r="Q61" s="1112"/>
      <c r="R61" s="1112"/>
    </row>
    <row r="62" spans="1:29" x14ac:dyDescent="0.25">
      <c r="A62" s="1079"/>
      <c r="B62" s="1112"/>
      <c r="C62" s="1252"/>
      <c r="D62" s="1252"/>
      <c r="E62" s="1112"/>
      <c r="F62" s="1252"/>
      <c r="G62" s="1112"/>
      <c r="H62" s="1252"/>
      <c r="I62" s="1112"/>
      <c r="J62" s="1112"/>
      <c r="K62" s="1112"/>
      <c r="L62" s="1112"/>
      <c r="M62" s="1112"/>
      <c r="N62" s="1112"/>
      <c r="O62" s="1112"/>
      <c r="P62" s="1112"/>
      <c r="Q62" s="1112"/>
      <c r="R62" s="1112"/>
    </row>
    <row r="63" spans="1:29" x14ac:dyDescent="0.25">
      <c r="A63" s="1079"/>
      <c r="B63" s="1112"/>
      <c r="C63" s="1252"/>
      <c r="D63" s="1252"/>
      <c r="E63" s="1112"/>
      <c r="F63" s="1252"/>
      <c r="G63" s="1112"/>
      <c r="H63" s="1252"/>
      <c r="I63" s="1112"/>
      <c r="J63" s="1112"/>
      <c r="K63" s="1112"/>
      <c r="L63" s="1112"/>
      <c r="M63" s="1112"/>
      <c r="N63" s="1112"/>
      <c r="O63" s="1112"/>
      <c r="P63" s="1112"/>
      <c r="Q63" s="1112"/>
      <c r="R63" s="1112"/>
    </row>
    <row r="64" spans="1:29" ht="18.75" x14ac:dyDescent="0.3">
      <c r="A64" s="1225" t="s">
        <v>1237</v>
      </c>
    </row>
    <row r="65" spans="1:44" x14ac:dyDescent="0.25">
      <c r="A65" s="1253" t="s">
        <v>1238</v>
      </c>
    </row>
    <row r="66" spans="1:44" x14ac:dyDescent="0.25">
      <c r="A66" s="1253" t="s">
        <v>1239</v>
      </c>
      <c r="J66" s="1085"/>
      <c r="K66" s="1085"/>
      <c r="L66" s="1085"/>
      <c r="M66" s="1085"/>
      <c r="T66" s="1082" t="str">
        <f>IF(W70="ламель125",N77,IF(AND(W70="ламель150",W72="50мм"),V77,R77))</f>
        <v>150_25</v>
      </c>
    </row>
    <row r="67" spans="1:44" x14ac:dyDescent="0.25">
      <c r="A67" s="1253" t="s">
        <v>1022</v>
      </c>
      <c r="J67" s="1112"/>
      <c r="K67" s="1112"/>
      <c r="L67" s="1112"/>
      <c r="M67" s="1112"/>
    </row>
    <row r="68" spans="1:44" x14ac:dyDescent="0.25">
      <c r="A68" s="1253" t="s">
        <v>1240</v>
      </c>
      <c r="J68" s="1112"/>
      <c r="L68" s="1112"/>
      <c r="M68" s="1112"/>
    </row>
    <row r="69" spans="1:44" x14ac:dyDescent="0.25">
      <c r="A69" s="1253" t="s">
        <v>1241</v>
      </c>
      <c r="J69" s="1112"/>
      <c r="L69" s="1112"/>
      <c r="M69" s="1112"/>
      <c r="R69" s="1254">
        <v>2.25</v>
      </c>
    </row>
    <row r="70" spans="1:44" x14ac:dyDescent="0.25">
      <c r="A70" s="1255"/>
      <c r="J70" s="1112"/>
      <c r="L70" s="1112"/>
      <c r="M70" s="1112"/>
      <c r="W70" s="1256" t="s">
        <v>1239</v>
      </c>
      <c r="Y70" s="1082" t="s">
        <v>1242</v>
      </c>
      <c r="Z70" s="1257" t="s">
        <v>1243</v>
      </c>
      <c r="AA70" s="1257" t="s">
        <v>1244</v>
      </c>
      <c r="AB70" s="1082" t="s">
        <v>1245</v>
      </c>
      <c r="AC70" s="1082" t="s">
        <v>1246</v>
      </c>
    </row>
    <row r="71" spans="1:44" x14ac:dyDescent="0.25">
      <c r="A71" s="1253" t="s">
        <v>18</v>
      </c>
      <c r="J71" s="1112"/>
      <c r="L71" s="1112"/>
      <c r="M71" s="1112"/>
      <c r="Y71" s="1082" t="s">
        <v>1025</v>
      </c>
      <c r="Z71" s="1082" t="s">
        <v>1025</v>
      </c>
      <c r="AA71" s="1082" t="s">
        <v>1025</v>
      </c>
      <c r="AB71" s="1082" t="s">
        <v>1025</v>
      </c>
      <c r="AC71" s="1082" t="s">
        <v>1025</v>
      </c>
    </row>
    <row r="72" spans="1:44" x14ac:dyDescent="0.25">
      <c r="A72" s="1253" t="s">
        <v>1247</v>
      </c>
      <c r="J72" s="1112"/>
      <c r="K72" s="1112"/>
      <c r="L72" s="1112"/>
      <c r="M72" s="1112"/>
      <c r="W72" s="1254" t="s">
        <v>1025</v>
      </c>
      <c r="AA72" s="1082" t="s">
        <v>1248</v>
      </c>
      <c r="AB72" s="1082" t="s">
        <v>1248</v>
      </c>
      <c r="AC72" s="1082" t="s">
        <v>1248</v>
      </c>
    </row>
    <row r="73" spans="1:44" x14ac:dyDescent="0.25">
      <c r="A73" s="1253" t="s">
        <v>1249</v>
      </c>
      <c r="J73" s="1112"/>
      <c r="K73" s="1112"/>
      <c r="L73" s="1112"/>
      <c r="M73" s="1112"/>
    </row>
    <row r="74" spans="1:44" x14ac:dyDescent="0.25">
      <c r="A74" s="1258"/>
      <c r="J74" s="1112"/>
      <c r="K74" s="1112"/>
      <c r="L74" s="1112"/>
      <c r="M74" s="1112"/>
    </row>
    <row r="75" spans="1:44" x14ac:dyDescent="0.25">
      <c r="A75" s="1258"/>
      <c r="J75" s="1112"/>
      <c r="K75" s="1112"/>
      <c r="L75" s="1112"/>
      <c r="M75" s="1112"/>
    </row>
    <row r="76" spans="1:44" x14ac:dyDescent="0.25">
      <c r="A76" s="1236">
        <v>1</v>
      </c>
      <c r="B76" s="1236">
        <v>2</v>
      </c>
      <c r="C76" s="1236">
        <v>3</v>
      </c>
      <c r="D76" s="1236">
        <v>4</v>
      </c>
      <c r="E76" s="1236">
        <v>5</v>
      </c>
      <c r="F76" s="1236">
        <v>6</v>
      </c>
      <c r="G76" s="1236">
        <v>7</v>
      </c>
      <c r="H76" s="1236">
        <v>8</v>
      </c>
      <c r="I76" s="1082" t="s">
        <v>1250</v>
      </c>
      <c r="N76" s="1236"/>
      <c r="O76" s="1236"/>
      <c r="P76" s="1236"/>
      <c r="V76" s="1236"/>
      <c r="W76" s="1236"/>
      <c r="X76" s="1236"/>
    </row>
    <row r="77" spans="1:44" ht="38.25" x14ac:dyDescent="0.25">
      <c r="A77" s="2542" t="s">
        <v>72</v>
      </c>
      <c r="B77" s="2542" t="s">
        <v>1251</v>
      </c>
      <c r="C77" s="2542" t="s">
        <v>1252</v>
      </c>
      <c r="D77" s="1091" t="s">
        <v>1253</v>
      </c>
      <c r="E77" s="1091" t="s">
        <v>1254</v>
      </c>
      <c r="F77" s="1091" t="s">
        <v>1253</v>
      </c>
      <c r="G77" s="1091" t="s">
        <v>1254</v>
      </c>
      <c r="H77" s="1090"/>
      <c r="I77" s="1091" t="s">
        <v>1255</v>
      </c>
      <c r="J77" s="1091" t="s">
        <v>1256</v>
      </c>
      <c r="K77" s="1091" t="s">
        <v>1257</v>
      </c>
      <c r="L77" s="1091" t="s">
        <v>1258</v>
      </c>
      <c r="N77" s="1260" t="s">
        <v>1259</v>
      </c>
      <c r="O77" s="1261" t="s">
        <v>1251</v>
      </c>
      <c r="P77" s="1261" t="s">
        <v>1260</v>
      </c>
      <c r="R77" s="1259" t="s">
        <v>1261</v>
      </c>
      <c r="S77" s="1091" t="s">
        <v>1253</v>
      </c>
      <c r="T77" s="1091" t="s">
        <v>1260</v>
      </c>
      <c r="V77" s="1260" t="s">
        <v>1262</v>
      </c>
      <c r="W77" s="1091" t="s">
        <v>1253</v>
      </c>
      <c r="X77" s="1091" t="s">
        <v>1263</v>
      </c>
      <c r="Z77" s="1259">
        <v>50</v>
      </c>
      <c r="AA77" s="1091" t="s">
        <v>1264</v>
      </c>
      <c r="AB77" s="1091" t="s">
        <v>1260</v>
      </c>
      <c r="AC77" s="1262"/>
      <c r="AD77" s="1259">
        <v>50</v>
      </c>
      <c r="AE77" s="1091" t="s">
        <v>1264</v>
      </c>
      <c r="AF77" s="1091" t="s">
        <v>1263</v>
      </c>
      <c r="AG77" s="1262"/>
      <c r="AH77" s="1259">
        <v>200</v>
      </c>
      <c r="AI77" s="1091" t="s">
        <v>1265</v>
      </c>
      <c r="AJ77" s="1091" t="s">
        <v>1260</v>
      </c>
      <c r="AK77" s="1262"/>
      <c r="AL77" s="1259">
        <v>200</v>
      </c>
      <c r="AM77" s="1091" t="s">
        <v>1265</v>
      </c>
      <c r="AN77" s="1091" t="s">
        <v>1263</v>
      </c>
      <c r="AP77" s="1259">
        <v>100</v>
      </c>
      <c r="AQ77" s="1091" t="s">
        <v>1266</v>
      </c>
      <c r="AR77" s="1091" t="s">
        <v>1260</v>
      </c>
    </row>
    <row r="78" spans="1:44" ht="15" customHeight="1" x14ac:dyDescent="0.25">
      <c r="A78" s="2543"/>
      <c r="B78" s="2543"/>
      <c r="C78" s="2543"/>
      <c r="D78" s="2548" t="s">
        <v>1267</v>
      </c>
      <c r="E78" s="2549"/>
      <c r="F78" s="2548" t="s">
        <v>1268</v>
      </c>
      <c r="G78" s="2549"/>
      <c r="H78" s="1090"/>
      <c r="I78" s="1230">
        <v>125</v>
      </c>
      <c r="J78" s="1230">
        <v>2.04</v>
      </c>
      <c r="K78" s="1230">
        <v>25</v>
      </c>
      <c r="L78" s="1230">
        <v>13</v>
      </c>
      <c r="N78" s="1263">
        <v>0</v>
      </c>
      <c r="O78" s="1231">
        <v>0</v>
      </c>
      <c r="P78" s="1231" t="s">
        <v>18</v>
      </c>
      <c r="R78" s="1233">
        <v>0</v>
      </c>
      <c r="S78" s="1264">
        <v>0</v>
      </c>
      <c r="T78" s="1233" t="s">
        <v>18</v>
      </c>
      <c r="V78" s="1263">
        <v>0</v>
      </c>
      <c r="W78" s="1264">
        <v>0</v>
      </c>
      <c r="X78" s="1233" t="s">
        <v>18</v>
      </c>
      <c r="Z78" s="1233">
        <v>0</v>
      </c>
      <c r="AA78" s="1264">
        <v>0</v>
      </c>
      <c r="AB78" s="1233" t="s">
        <v>18</v>
      </c>
      <c r="AD78" s="1233">
        <v>0</v>
      </c>
      <c r="AE78" s="1264">
        <v>0</v>
      </c>
      <c r="AF78" s="1233" t="s">
        <v>18</v>
      </c>
      <c r="AH78" s="1233">
        <v>0</v>
      </c>
      <c r="AI78" s="1264">
        <v>0</v>
      </c>
      <c r="AJ78" s="1233" t="s">
        <v>18</v>
      </c>
      <c r="AL78" s="1233">
        <v>0</v>
      </c>
      <c r="AM78" s="1264">
        <v>0</v>
      </c>
      <c r="AN78" s="1233" t="s">
        <v>18</v>
      </c>
      <c r="AP78" s="1233">
        <v>0</v>
      </c>
      <c r="AQ78" s="1264">
        <v>0</v>
      </c>
      <c r="AR78" s="1233" t="s">
        <v>18</v>
      </c>
    </row>
    <row r="79" spans="1:44" ht="15" customHeight="1" x14ac:dyDescent="0.25">
      <c r="A79" s="1233">
        <v>0</v>
      </c>
      <c r="B79" s="1231">
        <v>0</v>
      </c>
      <c r="C79" s="1231" t="s">
        <v>18</v>
      </c>
      <c r="D79" s="1231">
        <v>0</v>
      </c>
      <c r="E79" s="1231" t="s">
        <v>18</v>
      </c>
      <c r="F79" s="1231">
        <v>0</v>
      </c>
      <c r="G79" s="1231" t="s">
        <v>18</v>
      </c>
      <c r="H79" s="1231"/>
      <c r="I79" s="1230">
        <v>150</v>
      </c>
      <c r="J79" s="1230">
        <v>2.11</v>
      </c>
      <c r="K79" s="1230">
        <v>50</v>
      </c>
      <c r="L79" s="1230">
        <v>10</v>
      </c>
      <c r="N79" s="1263">
        <v>1.05</v>
      </c>
      <c r="O79" s="1231">
        <v>7</v>
      </c>
      <c r="P79" s="1231">
        <v>25</v>
      </c>
      <c r="R79" s="1233">
        <v>1.05</v>
      </c>
      <c r="S79" s="1264">
        <v>6</v>
      </c>
      <c r="T79" s="1264">
        <v>25</v>
      </c>
      <c r="V79" s="1263">
        <v>1</v>
      </c>
      <c r="W79" s="1264">
        <v>5</v>
      </c>
      <c r="X79" s="1264">
        <v>50</v>
      </c>
      <c r="Z79" s="1233">
        <v>0.97499999999999998</v>
      </c>
      <c r="AA79" s="1264">
        <f>Z79/0.075</f>
        <v>13</v>
      </c>
      <c r="AB79" s="1264">
        <v>25</v>
      </c>
      <c r="AD79" s="1233">
        <v>1</v>
      </c>
      <c r="AE79" s="1264">
        <f>AD79/0.1</f>
        <v>10</v>
      </c>
      <c r="AF79" s="1264">
        <v>50</v>
      </c>
      <c r="AH79" s="1233">
        <v>0.9</v>
      </c>
      <c r="AI79" s="1264">
        <f>AH79/0.225</f>
        <v>4</v>
      </c>
      <c r="AJ79" s="1264">
        <v>25</v>
      </c>
      <c r="AL79" s="1233">
        <v>1</v>
      </c>
      <c r="AM79" s="1264">
        <f>AL79/0.25</f>
        <v>4</v>
      </c>
      <c r="AN79" s="1264">
        <v>50</v>
      </c>
      <c r="AP79" s="1233">
        <v>1</v>
      </c>
      <c r="AQ79" s="1264">
        <v>8</v>
      </c>
      <c r="AR79" s="1264">
        <v>25</v>
      </c>
    </row>
    <row r="80" spans="1:44" x14ac:dyDescent="0.25">
      <c r="A80" s="1233">
        <v>1</v>
      </c>
      <c r="B80" s="1231">
        <v>6</v>
      </c>
      <c r="C80" s="1231">
        <v>41.7</v>
      </c>
      <c r="D80" s="1231">
        <v>5</v>
      </c>
      <c r="E80" s="1231">
        <v>50</v>
      </c>
      <c r="F80" s="1231">
        <v>5</v>
      </c>
      <c r="G80" s="1231">
        <v>50</v>
      </c>
      <c r="H80" s="1233"/>
      <c r="N80" s="1263">
        <v>1.2</v>
      </c>
      <c r="O80" s="1231">
        <v>8</v>
      </c>
      <c r="P80" s="1231">
        <v>25</v>
      </c>
      <c r="R80" s="1233">
        <v>1.4</v>
      </c>
      <c r="S80" s="1264">
        <v>8</v>
      </c>
      <c r="T80" s="1264">
        <v>25</v>
      </c>
      <c r="V80" s="1263">
        <v>1.2</v>
      </c>
      <c r="W80" s="1264">
        <v>6</v>
      </c>
      <c r="X80" s="1264">
        <v>50</v>
      </c>
      <c r="Z80" s="1233">
        <v>1.05</v>
      </c>
      <c r="AA80" s="1264">
        <f t="shared" ref="AA80:AA106" si="1">Z80/0.075</f>
        <v>14.000000000000002</v>
      </c>
      <c r="AB80" s="1264">
        <v>25</v>
      </c>
      <c r="AD80" s="1233">
        <v>1.1000000000000001</v>
      </c>
      <c r="AE80" s="1264">
        <f t="shared" ref="AE80:AE99" si="2">AD80/0.1</f>
        <v>11</v>
      </c>
      <c r="AF80" s="1264">
        <v>50</v>
      </c>
      <c r="AH80" s="1233">
        <v>1.125</v>
      </c>
      <c r="AI80" s="1264">
        <f t="shared" ref="AI80:AI88" si="3">AH80/0.225</f>
        <v>5</v>
      </c>
      <c r="AJ80" s="1264">
        <v>25</v>
      </c>
      <c r="AL80" s="1233">
        <v>1.25</v>
      </c>
      <c r="AM80" s="1264">
        <f t="shared" ref="AM80:AM87" si="4">AL80/0.25</f>
        <v>5</v>
      </c>
      <c r="AN80" s="1264">
        <v>50</v>
      </c>
      <c r="AP80" s="1233">
        <v>1.25</v>
      </c>
      <c r="AQ80" s="1264">
        <v>10</v>
      </c>
      <c r="AR80" s="1264">
        <v>25</v>
      </c>
    </row>
    <row r="81" spans="1:44" x14ac:dyDescent="0.25">
      <c r="A81" s="1233">
        <v>1.05</v>
      </c>
      <c r="B81" s="1231">
        <v>7</v>
      </c>
      <c r="C81" s="1231">
        <v>25</v>
      </c>
      <c r="D81" s="1231">
        <v>6</v>
      </c>
      <c r="E81" s="1231">
        <v>25</v>
      </c>
      <c r="F81" s="1231">
        <v>5</v>
      </c>
      <c r="G81" s="1231">
        <v>60</v>
      </c>
      <c r="H81" s="1233"/>
      <c r="N81" s="1263">
        <v>1.35</v>
      </c>
      <c r="O81" s="1231">
        <v>9</v>
      </c>
      <c r="P81" s="1231">
        <v>25</v>
      </c>
      <c r="R81" s="1233">
        <v>1.75</v>
      </c>
      <c r="S81" s="1264">
        <v>10</v>
      </c>
      <c r="T81" s="1264">
        <v>25</v>
      </c>
      <c r="V81" s="1263">
        <v>1.4</v>
      </c>
      <c r="W81" s="1264">
        <v>7</v>
      </c>
      <c r="X81" s="1264">
        <v>50</v>
      </c>
      <c r="Z81" s="1233">
        <v>1.125</v>
      </c>
      <c r="AA81" s="1264">
        <f t="shared" si="1"/>
        <v>15</v>
      </c>
      <c r="AB81" s="1264">
        <v>25</v>
      </c>
      <c r="AD81" s="1233">
        <v>1.2</v>
      </c>
      <c r="AE81" s="1264">
        <f t="shared" si="2"/>
        <v>11.999999999999998</v>
      </c>
      <c r="AF81" s="1264">
        <v>50</v>
      </c>
      <c r="AH81" s="1233">
        <v>1.35</v>
      </c>
      <c r="AI81" s="1264">
        <f t="shared" si="3"/>
        <v>6</v>
      </c>
      <c r="AJ81" s="1264">
        <v>25</v>
      </c>
      <c r="AL81" s="1233">
        <v>1.5</v>
      </c>
      <c r="AM81" s="1264">
        <f t="shared" si="4"/>
        <v>6</v>
      </c>
      <c r="AN81" s="1264">
        <v>50</v>
      </c>
      <c r="AP81" s="1233">
        <v>1.5</v>
      </c>
      <c r="AQ81" s="1264">
        <v>12</v>
      </c>
      <c r="AR81" s="1264">
        <v>25</v>
      </c>
    </row>
    <row r="82" spans="1:44" x14ac:dyDescent="0.25">
      <c r="A82" s="1233">
        <v>1.1000000000000001</v>
      </c>
      <c r="B82" s="1231">
        <v>7</v>
      </c>
      <c r="C82" s="1231">
        <v>32.1</v>
      </c>
      <c r="D82" s="1231">
        <v>6</v>
      </c>
      <c r="E82" s="1231">
        <v>33.299999999999997</v>
      </c>
      <c r="F82" s="1231">
        <v>5</v>
      </c>
      <c r="G82" s="1231">
        <v>70</v>
      </c>
      <c r="H82" s="1233"/>
      <c r="N82" s="1263">
        <v>1.5</v>
      </c>
      <c r="O82" s="1231">
        <v>10</v>
      </c>
      <c r="P82" s="1231">
        <v>25</v>
      </c>
      <c r="R82" s="1233">
        <v>2.1</v>
      </c>
      <c r="S82" s="1264">
        <v>12</v>
      </c>
      <c r="T82" s="1264">
        <v>25</v>
      </c>
      <c r="V82" s="1263">
        <v>1.6</v>
      </c>
      <c r="W82" s="1264">
        <v>8</v>
      </c>
      <c r="X82" s="1264">
        <v>50</v>
      </c>
      <c r="Z82" s="1233">
        <v>1.2</v>
      </c>
      <c r="AA82" s="1264">
        <f t="shared" si="1"/>
        <v>16</v>
      </c>
      <c r="AB82" s="1264">
        <v>25</v>
      </c>
      <c r="AD82" s="1233">
        <v>1.3</v>
      </c>
      <c r="AE82" s="1264">
        <f t="shared" si="2"/>
        <v>13</v>
      </c>
      <c r="AF82" s="1264">
        <v>50</v>
      </c>
      <c r="AH82" s="1233">
        <v>1.5750000000000002</v>
      </c>
      <c r="AI82" s="1264">
        <f t="shared" si="3"/>
        <v>7.0000000000000009</v>
      </c>
      <c r="AJ82" s="1264">
        <v>25</v>
      </c>
      <c r="AL82" s="1233">
        <v>1.75</v>
      </c>
      <c r="AM82" s="1264">
        <f t="shared" si="4"/>
        <v>7</v>
      </c>
      <c r="AN82" s="1264">
        <v>50</v>
      </c>
      <c r="AP82" s="1233">
        <v>1.75</v>
      </c>
      <c r="AQ82" s="1264">
        <v>14</v>
      </c>
      <c r="AR82" s="1264">
        <v>25</v>
      </c>
    </row>
    <row r="83" spans="1:44" x14ac:dyDescent="0.25">
      <c r="A83" s="1233">
        <v>1.1499999999999999</v>
      </c>
      <c r="B83" s="1231">
        <v>7</v>
      </c>
      <c r="C83" s="1231">
        <v>39.299999999999997</v>
      </c>
      <c r="D83" s="1231">
        <v>6</v>
      </c>
      <c r="E83" s="1231">
        <v>41.7</v>
      </c>
      <c r="F83" s="1231">
        <v>5</v>
      </c>
      <c r="G83" s="1231">
        <v>80</v>
      </c>
      <c r="H83" s="1233"/>
      <c r="N83" s="1263">
        <v>1.65</v>
      </c>
      <c r="O83" s="1231">
        <v>11</v>
      </c>
      <c r="P83" s="1231">
        <v>25</v>
      </c>
      <c r="R83" s="1265">
        <v>2.4500000000000002</v>
      </c>
      <c r="S83" s="1266">
        <v>14</v>
      </c>
      <c r="T83" s="1264">
        <v>25</v>
      </c>
      <c r="V83" s="1263">
        <v>1.8</v>
      </c>
      <c r="W83" s="1266">
        <v>9</v>
      </c>
      <c r="X83" s="1264">
        <v>50</v>
      </c>
      <c r="Z83" s="1233">
        <v>1.2749999999999999</v>
      </c>
      <c r="AA83" s="1264">
        <f t="shared" si="1"/>
        <v>17</v>
      </c>
      <c r="AB83" s="1264">
        <v>25</v>
      </c>
      <c r="AD83" s="1233">
        <v>1.4</v>
      </c>
      <c r="AE83" s="1264">
        <f t="shared" si="2"/>
        <v>13.999999999999998</v>
      </c>
      <c r="AF83" s="1264">
        <v>50</v>
      </c>
      <c r="AH83" s="1233">
        <v>1.8</v>
      </c>
      <c r="AI83" s="1264">
        <f t="shared" si="3"/>
        <v>8</v>
      </c>
      <c r="AJ83" s="1264">
        <v>25</v>
      </c>
      <c r="AL83" s="1233">
        <v>2</v>
      </c>
      <c r="AM83" s="1264">
        <f t="shared" si="4"/>
        <v>8</v>
      </c>
      <c r="AN83" s="1264">
        <v>50</v>
      </c>
      <c r="AP83" s="1233">
        <v>2</v>
      </c>
      <c r="AQ83" s="1264">
        <v>16</v>
      </c>
      <c r="AR83" s="1264">
        <v>25</v>
      </c>
    </row>
    <row r="84" spans="1:44" x14ac:dyDescent="0.25">
      <c r="A84" s="1233">
        <v>1.2</v>
      </c>
      <c r="B84" s="1231">
        <v>8</v>
      </c>
      <c r="C84" s="1231">
        <v>25</v>
      </c>
      <c r="D84" s="1231">
        <v>6</v>
      </c>
      <c r="E84" s="1231">
        <v>50</v>
      </c>
      <c r="F84" s="1231">
        <v>6</v>
      </c>
      <c r="G84" s="1231">
        <v>50</v>
      </c>
      <c r="H84" s="1233"/>
      <c r="N84" s="1263">
        <v>1.8</v>
      </c>
      <c r="O84" s="1231">
        <v>12</v>
      </c>
      <c r="P84" s="1231">
        <v>25</v>
      </c>
      <c r="R84" s="1233">
        <v>2.8</v>
      </c>
      <c r="S84" s="1264">
        <v>16</v>
      </c>
      <c r="T84" s="1264">
        <v>25</v>
      </c>
      <c r="V84" s="1263">
        <v>2</v>
      </c>
      <c r="W84" s="1264">
        <v>10</v>
      </c>
      <c r="X84" s="1264">
        <v>50</v>
      </c>
      <c r="Z84" s="1233">
        <v>1.35</v>
      </c>
      <c r="AA84" s="1264">
        <f t="shared" si="1"/>
        <v>18.000000000000004</v>
      </c>
      <c r="AB84" s="1264">
        <v>25</v>
      </c>
      <c r="AD84" s="1233">
        <v>1.5</v>
      </c>
      <c r="AE84" s="1264">
        <f t="shared" si="2"/>
        <v>15</v>
      </c>
      <c r="AF84" s="1264">
        <v>50</v>
      </c>
      <c r="AH84" s="1233">
        <v>2.0249999999999999</v>
      </c>
      <c r="AI84" s="1264">
        <f t="shared" si="3"/>
        <v>9</v>
      </c>
      <c r="AJ84" s="1264">
        <v>25</v>
      </c>
      <c r="AL84" s="1233">
        <v>2.25</v>
      </c>
      <c r="AM84" s="1264">
        <f t="shared" si="4"/>
        <v>9</v>
      </c>
      <c r="AN84" s="1264">
        <v>50</v>
      </c>
      <c r="AP84" s="1233">
        <v>2.25</v>
      </c>
      <c r="AQ84" s="1264">
        <v>18</v>
      </c>
      <c r="AR84" s="1264">
        <v>25</v>
      </c>
    </row>
    <row r="85" spans="1:44" x14ac:dyDescent="0.25">
      <c r="A85" s="1233">
        <v>1.25</v>
      </c>
      <c r="B85" s="1231">
        <v>8</v>
      </c>
      <c r="C85" s="1231">
        <v>31.3</v>
      </c>
      <c r="D85" s="1231">
        <v>7</v>
      </c>
      <c r="E85" s="1231">
        <v>28.6</v>
      </c>
      <c r="F85" s="1231">
        <v>6</v>
      </c>
      <c r="G85" s="1231">
        <v>58.3</v>
      </c>
      <c r="H85" s="1233"/>
      <c r="N85" s="1263">
        <v>1.95</v>
      </c>
      <c r="O85" s="1231">
        <v>13</v>
      </c>
      <c r="P85" s="1231">
        <v>25</v>
      </c>
      <c r="V85" s="1263">
        <v>2.2000000000000002</v>
      </c>
      <c r="W85" s="1264">
        <v>11</v>
      </c>
      <c r="X85" s="1264">
        <v>50</v>
      </c>
      <c r="Z85" s="1233">
        <v>1.4249999999999998</v>
      </c>
      <c r="AA85" s="1264">
        <f t="shared" si="1"/>
        <v>19</v>
      </c>
      <c r="AB85" s="1264">
        <v>25</v>
      </c>
      <c r="AD85" s="1233">
        <v>1.6</v>
      </c>
      <c r="AE85" s="1264">
        <f t="shared" si="2"/>
        <v>16</v>
      </c>
      <c r="AF85" s="1264">
        <v>50</v>
      </c>
      <c r="AH85" s="1233">
        <v>2.25</v>
      </c>
      <c r="AI85" s="1264">
        <f t="shared" si="3"/>
        <v>10</v>
      </c>
      <c r="AJ85" s="1264">
        <v>25</v>
      </c>
      <c r="AL85" s="1233">
        <v>2.5</v>
      </c>
      <c r="AM85" s="1264">
        <f t="shared" si="4"/>
        <v>10</v>
      </c>
      <c r="AN85" s="1264">
        <v>50</v>
      </c>
      <c r="AP85" s="1233">
        <v>2.5</v>
      </c>
      <c r="AQ85" s="1264">
        <v>20</v>
      </c>
      <c r="AR85" s="1264">
        <v>25</v>
      </c>
    </row>
    <row r="86" spans="1:44" x14ac:dyDescent="0.25">
      <c r="A86" s="1233">
        <v>1.3</v>
      </c>
      <c r="B86" s="1231">
        <v>8</v>
      </c>
      <c r="C86" s="1231">
        <v>37.5</v>
      </c>
      <c r="D86" s="1231">
        <v>7</v>
      </c>
      <c r="E86" s="1231">
        <v>35.700000000000003</v>
      </c>
      <c r="F86" s="1231">
        <v>6</v>
      </c>
      <c r="G86" s="1231">
        <v>66.7</v>
      </c>
      <c r="H86" s="1233"/>
      <c r="N86" s="1263">
        <v>2.1</v>
      </c>
      <c r="O86" s="1231">
        <v>14</v>
      </c>
      <c r="P86" s="1231">
        <v>25</v>
      </c>
      <c r="V86" s="1263">
        <v>2.4</v>
      </c>
      <c r="W86" s="1264">
        <v>12</v>
      </c>
      <c r="X86" s="1264">
        <v>50</v>
      </c>
      <c r="Z86" s="1233">
        <v>1.5</v>
      </c>
      <c r="AA86" s="1264">
        <f t="shared" si="1"/>
        <v>20</v>
      </c>
      <c r="AB86" s="1264">
        <v>25</v>
      </c>
      <c r="AD86" s="1233">
        <v>1.7000000000000002</v>
      </c>
      <c r="AE86" s="1264">
        <f t="shared" si="2"/>
        <v>17</v>
      </c>
      <c r="AF86" s="1264">
        <v>50</v>
      </c>
      <c r="AH86" s="1233">
        <v>2.4750000000000001</v>
      </c>
      <c r="AI86" s="1264">
        <f t="shared" si="3"/>
        <v>11</v>
      </c>
      <c r="AJ86" s="1264">
        <v>25</v>
      </c>
      <c r="AL86" s="1233">
        <v>2.75</v>
      </c>
      <c r="AM86" s="1264">
        <f t="shared" si="4"/>
        <v>11</v>
      </c>
      <c r="AN86" s="1264">
        <v>50</v>
      </c>
      <c r="AP86" s="1233">
        <v>2.75</v>
      </c>
      <c r="AQ86" s="1264">
        <v>22</v>
      </c>
      <c r="AR86" s="1264">
        <v>25</v>
      </c>
    </row>
    <row r="87" spans="1:44" x14ac:dyDescent="0.25">
      <c r="A87" s="1233">
        <v>1.35</v>
      </c>
      <c r="B87" s="1231">
        <v>9</v>
      </c>
      <c r="C87" s="1231">
        <v>25</v>
      </c>
      <c r="D87" s="1231">
        <v>7</v>
      </c>
      <c r="E87" s="1231">
        <v>42.9</v>
      </c>
      <c r="F87" s="1231">
        <v>6</v>
      </c>
      <c r="G87" s="1231">
        <v>75</v>
      </c>
      <c r="H87" s="1233"/>
      <c r="N87" s="1263">
        <v>2.25</v>
      </c>
      <c r="O87" s="1231">
        <v>15</v>
      </c>
      <c r="P87" s="1231">
        <v>25</v>
      </c>
      <c r="V87" s="1263">
        <v>2.6</v>
      </c>
      <c r="W87" s="1264">
        <v>13</v>
      </c>
      <c r="X87" s="1264">
        <v>50</v>
      </c>
      <c r="Z87" s="1233">
        <v>1.575</v>
      </c>
      <c r="AA87" s="1264">
        <f t="shared" si="1"/>
        <v>21</v>
      </c>
      <c r="AB87" s="1264">
        <v>25</v>
      </c>
      <c r="AD87" s="1233">
        <v>1.8</v>
      </c>
      <c r="AE87" s="1264">
        <f t="shared" si="2"/>
        <v>18</v>
      </c>
      <c r="AF87" s="1264">
        <v>50</v>
      </c>
      <c r="AH87" s="1233">
        <v>2.7</v>
      </c>
      <c r="AI87" s="1264">
        <f t="shared" si="3"/>
        <v>12</v>
      </c>
      <c r="AJ87" s="1264">
        <v>25</v>
      </c>
      <c r="AL87" s="1233">
        <v>3</v>
      </c>
      <c r="AM87" s="1264">
        <f t="shared" si="4"/>
        <v>12</v>
      </c>
      <c r="AN87" s="1264">
        <v>50</v>
      </c>
      <c r="AP87" s="1233">
        <v>3</v>
      </c>
      <c r="AQ87" s="1264">
        <v>24</v>
      </c>
      <c r="AR87" s="1264">
        <v>25</v>
      </c>
    </row>
    <row r="88" spans="1:44" x14ac:dyDescent="0.25">
      <c r="A88" s="1233">
        <v>1.4</v>
      </c>
      <c r="B88" s="1231">
        <v>9</v>
      </c>
      <c r="C88" s="1231">
        <v>30.6</v>
      </c>
      <c r="D88" s="1231">
        <v>8</v>
      </c>
      <c r="E88" s="1231">
        <v>25</v>
      </c>
      <c r="F88" s="1231">
        <v>7</v>
      </c>
      <c r="G88" s="1231">
        <v>50</v>
      </c>
      <c r="H88" s="1233"/>
      <c r="N88" s="1263">
        <v>2.4</v>
      </c>
      <c r="O88" s="1231">
        <v>16</v>
      </c>
      <c r="P88" s="1231">
        <v>25</v>
      </c>
      <c r="V88" s="1263">
        <v>2.8</v>
      </c>
      <c r="W88" s="1264">
        <v>14</v>
      </c>
      <c r="X88" s="1264">
        <v>50</v>
      </c>
      <c r="Z88" s="1233">
        <v>1.65</v>
      </c>
      <c r="AA88" s="1264">
        <f t="shared" si="1"/>
        <v>22</v>
      </c>
      <c r="AB88" s="1264">
        <v>25</v>
      </c>
      <c r="AD88" s="1233">
        <v>1.9</v>
      </c>
      <c r="AE88" s="1264">
        <f t="shared" si="2"/>
        <v>18.999999999999996</v>
      </c>
      <c r="AF88" s="1264">
        <v>50</v>
      </c>
      <c r="AH88" s="1233">
        <v>2.9249999999999998</v>
      </c>
      <c r="AI88" s="1264">
        <f t="shared" si="3"/>
        <v>12.999999999999998</v>
      </c>
      <c r="AJ88" s="1264">
        <v>25</v>
      </c>
    </row>
    <row r="89" spans="1:44" x14ac:dyDescent="0.25">
      <c r="A89" s="1233">
        <v>1.45</v>
      </c>
      <c r="B89" s="1231">
        <v>9</v>
      </c>
      <c r="C89" s="1231">
        <v>36.1</v>
      </c>
      <c r="D89" s="1231">
        <v>8</v>
      </c>
      <c r="E89" s="1231">
        <v>31.3</v>
      </c>
      <c r="F89" s="1231">
        <v>7</v>
      </c>
      <c r="G89" s="1231">
        <v>57.1</v>
      </c>
      <c r="H89" s="1233"/>
      <c r="N89" s="1263">
        <v>2.5499999999999998</v>
      </c>
      <c r="O89" s="1231">
        <v>17</v>
      </c>
      <c r="P89" s="1231">
        <v>25</v>
      </c>
      <c r="V89" s="1233">
        <v>3</v>
      </c>
      <c r="W89" s="1264">
        <v>15</v>
      </c>
      <c r="X89" s="1264">
        <v>50</v>
      </c>
      <c r="Z89" s="1233">
        <v>1.7250000000000001</v>
      </c>
      <c r="AA89" s="1264">
        <f t="shared" si="1"/>
        <v>23.000000000000004</v>
      </c>
      <c r="AB89" s="1264">
        <v>25</v>
      </c>
      <c r="AD89" s="1233">
        <v>2</v>
      </c>
      <c r="AE89" s="1264">
        <f t="shared" si="2"/>
        <v>20</v>
      </c>
      <c r="AF89" s="1264">
        <v>50</v>
      </c>
    </row>
    <row r="90" spans="1:44" x14ac:dyDescent="0.25">
      <c r="A90" s="1233">
        <v>1.5</v>
      </c>
      <c r="B90" s="1231">
        <v>10</v>
      </c>
      <c r="C90" s="1231">
        <v>25</v>
      </c>
      <c r="D90" s="1231">
        <v>8</v>
      </c>
      <c r="E90" s="1231">
        <v>37.5</v>
      </c>
      <c r="F90" s="1231">
        <v>7</v>
      </c>
      <c r="G90" s="1231">
        <v>64.3</v>
      </c>
      <c r="H90" s="1233"/>
      <c r="N90" s="1263">
        <v>2.7</v>
      </c>
      <c r="O90" s="1231">
        <v>18</v>
      </c>
      <c r="P90" s="1231">
        <v>25</v>
      </c>
      <c r="Z90" s="1233">
        <v>1.7999999999999998</v>
      </c>
      <c r="AA90" s="1264">
        <f t="shared" si="1"/>
        <v>24</v>
      </c>
      <c r="AB90" s="1264">
        <v>25</v>
      </c>
      <c r="AD90" s="1233">
        <v>2.1</v>
      </c>
      <c r="AE90" s="1264">
        <f t="shared" si="2"/>
        <v>21</v>
      </c>
      <c r="AF90" s="1264">
        <v>50</v>
      </c>
    </row>
    <row r="91" spans="1:44" x14ac:dyDescent="0.25">
      <c r="A91" s="1233">
        <v>1.55</v>
      </c>
      <c r="B91" s="1231">
        <v>10</v>
      </c>
      <c r="C91" s="1231">
        <v>30</v>
      </c>
      <c r="D91" s="1231">
        <v>8</v>
      </c>
      <c r="E91" s="1231">
        <v>43.8</v>
      </c>
      <c r="F91" s="1231">
        <v>7</v>
      </c>
      <c r="G91" s="1231">
        <v>71.400000000000006</v>
      </c>
      <c r="H91" s="1233"/>
      <c r="N91" s="1263">
        <v>2.85</v>
      </c>
      <c r="O91" s="1231">
        <v>19</v>
      </c>
      <c r="P91" s="1231">
        <v>25</v>
      </c>
      <c r="Z91" s="1233">
        <v>1.875</v>
      </c>
      <c r="AA91" s="1264">
        <f t="shared" si="1"/>
        <v>25</v>
      </c>
      <c r="AB91" s="1264">
        <v>25</v>
      </c>
      <c r="AD91" s="1233">
        <v>2.2000000000000002</v>
      </c>
      <c r="AE91" s="1264">
        <f t="shared" si="2"/>
        <v>22</v>
      </c>
      <c r="AF91" s="1264">
        <v>50</v>
      </c>
      <c r="AH91" s="1267"/>
    </row>
    <row r="92" spans="1:44" x14ac:dyDescent="0.25">
      <c r="A92" s="1233">
        <v>1.6</v>
      </c>
      <c r="B92" s="1231">
        <v>10</v>
      </c>
      <c r="C92" s="1231">
        <v>35</v>
      </c>
      <c r="D92" s="1231">
        <v>9</v>
      </c>
      <c r="E92" s="1231">
        <v>27.8</v>
      </c>
      <c r="F92" s="1231">
        <v>8</v>
      </c>
      <c r="G92" s="1231">
        <v>50</v>
      </c>
      <c r="H92" s="1233"/>
      <c r="N92" s="1233">
        <v>3</v>
      </c>
      <c r="O92" s="1231">
        <v>20</v>
      </c>
      <c r="P92" s="1231">
        <v>25</v>
      </c>
      <c r="Z92" s="1233">
        <v>1.95</v>
      </c>
      <c r="AA92" s="1264">
        <f t="shared" si="1"/>
        <v>26</v>
      </c>
      <c r="AB92" s="1264">
        <v>25</v>
      </c>
      <c r="AD92" s="1233">
        <v>2.2999999999999998</v>
      </c>
      <c r="AE92" s="1264">
        <f t="shared" si="2"/>
        <v>22.999999999999996</v>
      </c>
      <c r="AF92" s="1264">
        <v>50</v>
      </c>
    </row>
    <row r="93" spans="1:44" x14ac:dyDescent="0.25">
      <c r="A93" s="1233">
        <v>1.65</v>
      </c>
      <c r="B93" s="1231">
        <v>11</v>
      </c>
      <c r="C93" s="1231">
        <v>25</v>
      </c>
      <c r="D93" s="1231">
        <v>9</v>
      </c>
      <c r="E93" s="1231">
        <v>33.299999999999997</v>
      </c>
      <c r="F93" s="1231">
        <v>8</v>
      </c>
      <c r="G93" s="1231">
        <v>56.3</v>
      </c>
      <c r="H93" s="1233"/>
      <c r="Z93" s="1233">
        <v>2.0249999999999999</v>
      </c>
      <c r="AA93" s="1264">
        <f t="shared" si="1"/>
        <v>27</v>
      </c>
      <c r="AB93" s="1264">
        <v>25</v>
      </c>
      <c r="AD93" s="1233">
        <v>2.4000000000000004</v>
      </c>
      <c r="AE93" s="1264">
        <f t="shared" si="2"/>
        <v>24.000000000000004</v>
      </c>
      <c r="AF93" s="1264">
        <v>50</v>
      </c>
    </row>
    <row r="94" spans="1:44" x14ac:dyDescent="0.25">
      <c r="A94" s="1233">
        <v>1.7</v>
      </c>
      <c r="B94" s="1231">
        <v>11</v>
      </c>
      <c r="C94" s="1231">
        <v>29.5</v>
      </c>
      <c r="D94" s="1231">
        <v>9</v>
      </c>
      <c r="E94" s="1231">
        <v>38.9</v>
      </c>
      <c r="F94" s="1231">
        <v>8</v>
      </c>
      <c r="G94" s="1231">
        <v>62.5</v>
      </c>
      <c r="H94" s="1233"/>
      <c r="Z94" s="1233">
        <v>2.1</v>
      </c>
      <c r="AA94" s="1264">
        <f t="shared" si="1"/>
        <v>28.000000000000004</v>
      </c>
      <c r="AB94" s="1264">
        <v>25</v>
      </c>
      <c r="AD94" s="1233">
        <v>2.5</v>
      </c>
      <c r="AE94" s="1264">
        <f t="shared" si="2"/>
        <v>25</v>
      </c>
      <c r="AF94" s="1264">
        <v>50</v>
      </c>
    </row>
    <row r="95" spans="1:44" x14ac:dyDescent="0.25">
      <c r="A95" s="1233">
        <v>1.75</v>
      </c>
      <c r="B95" s="1231">
        <v>11</v>
      </c>
      <c r="C95" s="1231">
        <v>34.1</v>
      </c>
      <c r="D95" s="1231">
        <v>10</v>
      </c>
      <c r="E95" s="1231">
        <v>25</v>
      </c>
      <c r="F95" s="1231">
        <v>8</v>
      </c>
      <c r="G95" s="1231">
        <v>68.8</v>
      </c>
      <c r="H95" s="1233"/>
      <c r="Z95" s="1233">
        <v>2.1749999999999998</v>
      </c>
      <c r="AA95" s="1264">
        <f t="shared" si="1"/>
        <v>29</v>
      </c>
      <c r="AB95" s="1264">
        <v>25</v>
      </c>
      <c r="AD95" s="1233">
        <v>2.6</v>
      </c>
      <c r="AE95" s="1264">
        <f t="shared" si="2"/>
        <v>26</v>
      </c>
      <c r="AF95" s="1264">
        <v>50</v>
      </c>
    </row>
    <row r="96" spans="1:44" x14ac:dyDescent="0.25">
      <c r="A96" s="1233">
        <v>1.8</v>
      </c>
      <c r="B96" s="1231">
        <v>12</v>
      </c>
      <c r="C96" s="1231">
        <v>25</v>
      </c>
      <c r="D96" s="1231">
        <v>10</v>
      </c>
      <c r="E96" s="1231">
        <v>30</v>
      </c>
      <c r="F96" s="1231">
        <v>9</v>
      </c>
      <c r="G96" s="1231">
        <v>50</v>
      </c>
      <c r="H96" s="1233"/>
      <c r="Z96" s="1233">
        <v>2.25</v>
      </c>
      <c r="AA96" s="1264">
        <f t="shared" si="1"/>
        <v>30</v>
      </c>
      <c r="AB96" s="1264">
        <v>25</v>
      </c>
      <c r="AD96" s="1233">
        <v>2.7</v>
      </c>
      <c r="AE96" s="1264">
        <f t="shared" si="2"/>
        <v>27</v>
      </c>
      <c r="AF96" s="1264">
        <v>50</v>
      </c>
    </row>
    <row r="97" spans="1:32" x14ac:dyDescent="0.25">
      <c r="A97" s="1233">
        <v>1.85</v>
      </c>
      <c r="B97" s="1231">
        <v>12</v>
      </c>
      <c r="C97" s="1231">
        <v>29.2</v>
      </c>
      <c r="D97" s="1231">
        <v>10</v>
      </c>
      <c r="E97" s="1231">
        <v>35</v>
      </c>
      <c r="F97" s="1231">
        <v>9</v>
      </c>
      <c r="G97" s="1231">
        <v>55.6</v>
      </c>
      <c r="H97" s="1233"/>
      <c r="Z97" s="1233">
        <v>2.3249999999999997</v>
      </c>
      <c r="AA97" s="1264">
        <f t="shared" si="1"/>
        <v>30.999999999999996</v>
      </c>
      <c r="AB97" s="1264">
        <v>25</v>
      </c>
      <c r="AD97" s="1233">
        <v>2.8</v>
      </c>
      <c r="AE97" s="1264">
        <f t="shared" si="2"/>
        <v>27.999999999999996</v>
      </c>
      <c r="AF97" s="1264">
        <v>50</v>
      </c>
    </row>
    <row r="98" spans="1:32" x14ac:dyDescent="0.25">
      <c r="A98" s="1233">
        <v>1.9</v>
      </c>
      <c r="B98" s="1231">
        <v>12</v>
      </c>
      <c r="C98" s="1231">
        <v>33.299999999999997</v>
      </c>
      <c r="D98" s="1231">
        <v>10</v>
      </c>
      <c r="E98" s="1231">
        <v>40</v>
      </c>
      <c r="F98" s="1231">
        <v>9</v>
      </c>
      <c r="G98" s="1231">
        <v>61.1</v>
      </c>
      <c r="H98" s="1233"/>
      <c r="Z98" s="1233">
        <v>2.4</v>
      </c>
      <c r="AA98" s="1264">
        <f t="shared" si="1"/>
        <v>32</v>
      </c>
      <c r="AB98" s="1264">
        <v>25</v>
      </c>
      <c r="AD98" s="1233">
        <v>2.9000000000000004</v>
      </c>
      <c r="AE98" s="1264">
        <f t="shared" si="2"/>
        <v>29.000000000000004</v>
      </c>
      <c r="AF98" s="1264">
        <v>50</v>
      </c>
    </row>
    <row r="99" spans="1:32" x14ac:dyDescent="0.25">
      <c r="A99" s="1233">
        <v>1.95</v>
      </c>
      <c r="B99" s="1231">
        <v>13</v>
      </c>
      <c r="C99" s="1231">
        <v>25</v>
      </c>
      <c r="D99" s="1231">
        <v>11</v>
      </c>
      <c r="E99" s="1231">
        <v>27.3</v>
      </c>
      <c r="F99" s="1231">
        <v>9</v>
      </c>
      <c r="G99" s="1231">
        <v>66.7</v>
      </c>
      <c r="H99" s="1233"/>
      <c r="Z99" s="1233">
        <v>2.4750000000000001</v>
      </c>
      <c r="AA99" s="1264">
        <f t="shared" si="1"/>
        <v>33</v>
      </c>
      <c r="AB99" s="1264">
        <v>25</v>
      </c>
      <c r="AD99" s="1233">
        <v>3</v>
      </c>
      <c r="AE99" s="1264">
        <f t="shared" si="2"/>
        <v>30</v>
      </c>
      <c r="AF99" s="1264">
        <v>50</v>
      </c>
    </row>
    <row r="100" spans="1:32" x14ac:dyDescent="0.25">
      <c r="A100" s="1233">
        <v>2</v>
      </c>
      <c r="B100" s="1231">
        <v>13</v>
      </c>
      <c r="C100" s="1231">
        <v>28.8</v>
      </c>
      <c r="D100" s="1231">
        <v>11</v>
      </c>
      <c r="E100" s="1231">
        <v>31.8</v>
      </c>
      <c r="F100" s="1231">
        <v>10</v>
      </c>
      <c r="G100" s="1231">
        <v>50</v>
      </c>
      <c r="H100" s="1233"/>
      <c r="Z100" s="1233">
        <v>2.5499999999999998</v>
      </c>
      <c r="AA100" s="1264">
        <f t="shared" si="1"/>
        <v>34</v>
      </c>
      <c r="AB100" s="1264">
        <v>25</v>
      </c>
    </row>
    <row r="101" spans="1:32" x14ac:dyDescent="0.25">
      <c r="A101" s="1233">
        <v>2.0499999999999998</v>
      </c>
      <c r="B101" s="1231">
        <v>13</v>
      </c>
      <c r="C101" s="1231">
        <v>32.700000000000003</v>
      </c>
      <c r="D101" s="1231">
        <v>11</v>
      </c>
      <c r="E101" s="1231">
        <v>36.4</v>
      </c>
      <c r="F101" s="1231">
        <v>10</v>
      </c>
      <c r="G101" s="1231">
        <v>55</v>
      </c>
      <c r="H101" s="1233"/>
      <c r="Z101" s="1233">
        <v>2.625</v>
      </c>
      <c r="AA101" s="1264">
        <f t="shared" si="1"/>
        <v>35</v>
      </c>
      <c r="AB101" s="1264">
        <v>25</v>
      </c>
    </row>
    <row r="102" spans="1:32" x14ac:dyDescent="0.25">
      <c r="A102" s="1233">
        <v>2.1</v>
      </c>
      <c r="B102" s="1231">
        <v>14</v>
      </c>
      <c r="C102" s="1231">
        <v>25</v>
      </c>
      <c r="D102" s="1231">
        <v>12</v>
      </c>
      <c r="E102" s="1231">
        <v>25</v>
      </c>
      <c r="F102" s="1231">
        <v>10</v>
      </c>
      <c r="G102" s="1231">
        <v>60</v>
      </c>
      <c r="H102" s="1233"/>
      <c r="Z102" s="1233">
        <v>2.6999999999999997</v>
      </c>
      <c r="AA102" s="1264">
        <f t="shared" si="1"/>
        <v>36</v>
      </c>
      <c r="AB102" s="1264">
        <v>25</v>
      </c>
    </row>
    <row r="103" spans="1:32" x14ac:dyDescent="0.25">
      <c r="A103" s="1233">
        <v>2.15</v>
      </c>
      <c r="B103" s="1231">
        <v>14</v>
      </c>
      <c r="C103" s="1231">
        <v>28.6</v>
      </c>
      <c r="D103" s="1231">
        <v>12</v>
      </c>
      <c r="E103" s="1231">
        <v>29.2</v>
      </c>
      <c r="F103" s="1231">
        <v>10</v>
      </c>
      <c r="G103" s="1231">
        <v>65</v>
      </c>
      <c r="H103" s="1233"/>
      <c r="Z103" s="1233">
        <v>2.7749999999999999</v>
      </c>
      <c r="AA103" s="1264">
        <f t="shared" si="1"/>
        <v>37</v>
      </c>
      <c r="AB103" s="1264">
        <v>25</v>
      </c>
    </row>
    <row r="104" spans="1:32" x14ac:dyDescent="0.25">
      <c r="A104" s="1233">
        <v>2.2000000000000002</v>
      </c>
      <c r="B104" s="1231">
        <v>14</v>
      </c>
      <c r="C104" s="1231">
        <v>32.1</v>
      </c>
      <c r="D104" s="1231">
        <v>12</v>
      </c>
      <c r="E104" s="1231">
        <v>33.299999999999997</v>
      </c>
      <c r="F104" s="1231">
        <v>11</v>
      </c>
      <c r="G104" s="1231">
        <v>50</v>
      </c>
      <c r="H104" s="1233"/>
      <c r="Z104" s="1233">
        <v>2.85</v>
      </c>
      <c r="AA104" s="1264">
        <f t="shared" si="1"/>
        <v>38</v>
      </c>
      <c r="AB104" s="1264">
        <v>25</v>
      </c>
    </row>
    <row r="105" spans="1:32" x14ac:dyDescent="0.25">
      <c r="A105" s="1233">
        <v>2.25</v>
      </c>
      <c r="B105" s="1231">
        <v>15</v>
      </c>
      <c r="C105" s="1231">
        <v>25</v>
      </c>
      <c r="D105" s="1231">
        <v>12</v>
      </c>
      <c r="E105" s="1231">
        <v>37.5</v>
      </c>
      <c r="F105" s="1231">
        <v>11</v>
      </c>
      <c r="G105" s="1231">
        <v>54.5</v>
      </c>
      <c r="H105" s="1233"/>
      <c r="Z105" s="1233">
        <v>2.9249999999999998</v>
      </c>
      <c r="AA105" s="1264">
        <f t="shared" si="1"/>
        <v>39</v>
      </c>
      <c r="AB105" s="1264">
        <v>25</v>
      </c>
    </row>
    <row r="106" spans="1:32" x14ac:dyDescent="0.25">
      <c r="A106" s="1233">
        <v>2.2999999999999998</v>
      </c>
      <c r="B106" s="1231">
        <v>15</v>
      </c>
      <c r="C106" s="1231">
        <v>28.3</v>
      </c>
      <c r="D106" s="1231">
        <v>13</v>
      </c>
      <c r="E106" s="1231">
        <v>26.9</v>
      </c>
      <c r="F106" s="1231">
        <v>11</v>
      </c>
      <c r="G106" s="1231">
        <v>59.1</v>
      </c>
      <c r="H106" s="1233"/>
      <c r="Z106" s="1233">
        <v>3</v>
      </c>
      <c r="AA106" s="1264">
        <f t="shared" si="1"/>
        <v>40</v>
      </c>
      <c r="AB106" s="1264">
        <v>25</v>
      </c>
    </row>
    <row r="107" spans="1:32" x14ac:dyDescent="0.25">
      <c r="A107" s="1233">
        <v>2.35</v>
      </c>
      <c r="B107" s="1231">
        <v>15</v>
      </c>
      <c r="C107" s="1231">
        <v>31.7</v>
      </c>
      <c r="D107" s="1231">
        <v>13</v>
      </c>
      <c r="E107" s="1231">
        <v>30.8</v>
      </c>
      <c r="F107" s="1231">
        <v>11</v>
      </c>
      <c r="G107" s="1231">
        <v>63.6</v>
      </c>
      <c r="H107" s="1233"/>
    </row>
    <row r="108" spans="1:32" x14ac:dyDescent="0.25">
      <c r="A108" s="1233">
        <v>2.4</v>
      </c>
      <c r="B108" s="1231">
        <v>16</v>
      </c>
      <c r="C108" s="1231">
        <v>25</v>
      </c>
      <c r="D108" s="1231">
        <v>13</v>
      </c>
      <c r="E108" s="1231">
        <v>34.6</v>
      </c>
      <c r="F108" s="1231">
        <v>12</v>
      </c>
      <c r="G108" s="1231">
        <v>50</v>
      </c>
      <c r="H108" s="1233"/>
    </row>
    <row r="109" spans="1:32" x14ac:dyDescent="0.25">
      <c r="A109" s="1233">
        <v>2.4500000000000002</v>
      </c>
      <c r="B109" s="1231">
        <v>16</v>
      </c>
      <c r="C109" s="1231">
        <v>28.1</v>
      </c>
      <c r="D109" s="1231">
        <v>14</v>
      </c>
      <c r="E109" s="1231">
        <v>25</v>
      </c>
      <c r="F109" s="1231">
        <v>12</v>
      </c>
      <c r="G109" s="1231">
        <v>54.2</v>
      </c>
      <c r="H109" s="1233"/>
    </row>
    <row r="110" spans="1:32" x14ac:dyDescent="0.25">
      <c r="A110" s="1233">
        <v>2.5</v>
      </c>
      <c r="B110" s="1231">
        <v>16</v>
      </c>
      <c r="C110" s="1231">
        <v>31.3</v>
      </c>
      <c r="D110" s="1231">
        <v>14</v>
      </c>
      <c r="E110" s="1231">
        <v>28.6</v>
      </c>
      <c r="F110" s="1231">
        <v>12</v>
      </c>
      <c r="G110" s="1231">
        <v>58.3</v>
      </c>
      <c r="H110" s="1233"/>
    </row>
    <row r="111" spans="1:32" x14ac:dyDescent="0.25">
      <c r="A111" s="1233">
        <v>2.5499999999999998</v>
      </c>
      <c r="B111" s="1231">
        <v>17</v>
      </c>
      <c r="C111" s="1231">
        <v>25</v>
      </c>
      <c r="D111" s="1231">
        <v>14</v>
      </c>
      <c r="E111" s="1231">
        <v>32.1</v>
      </c>
      <c r="F111" s="1231">
        <v>12</v>
      </c>
      <c r="G111" s="1231">
        <v>62.5</v>
      </c>
      <c r="H111" s="1233"/>
    </row>
    <row r="112" spans="1:32" x14ac:dyDescent="0.25">
      <c r="A112" s="1233">
        <v>2.6</v>
      </c>
      <c r="B112" s="1231">
        <v>17</v>
      </c>
      <c r="C112" s="1231">
        <v>27.9</v>
      </c>
      <c r="D112" s="1231">
        <v>14</v>
      </c>
      <c r="E112" s="1231">
        <v>35.700000000000003</v>
      </c>
      <c r="F112" s="1231">
        <v>13</v>
      </c>
      <c r="G112" s="1231">
        <v>50</v>
      </c>
      <c r="H112" s="1233"/>
    </row>
    <row r="113" spans="1:23" x14ac:dyDescent="0.25">
      <c r="A113" s="1233">
        <v>2.65</v>
      </c>
      <c r="B113" s="1231">
        <v>17</v>
      </c>
      <c r="C113" s="1231">
        <v>30.9</v>
      </c>
      <c r="D113" s="1231">
        <v>15</v>
      </c>
      <c r="E113" s="1231">
        <v>26.7</v>
      </c>
      <c r="F113" s="1231">
        <v>13</v>
      </c>
      <c r="G113" s="1231">
        <v>53.8</v>
      </c>
      <c r="H113" s="1233"/>
    </row>
    <row r="114" spans="1:23" x14ac:dyDescent="0.25">
      <c r="A114" s="1233">
        <v>2.7</v>
      </c>
      <c r="B114" s="1231">
        <v>18</v>
      </c>
      <c r="C114" s="1231">
        <v>25</v>
      </c>
      <c r="D114" s="1231">
        <v>15</v>
      </c>
      <c r="E114" s="1231">
        <v>30</v>
      </c>
      <c r="F114" s="1231">
        <v>13</v>
      </c>
      <c r="G114" s="1231">
        <v>57.7</v>
      </c>
      <c r="H114" s="1233"/>
    </row>
    <row r="115" spans="1:23" x14ac:dyDescent="0.25">
      <c r="A115" s="1233">
        <v>2.75</v>
      </c>
      <c r="B115" s="1231">
        <v>18</v>
      </c>
      <c r="C115" s="1231">
        <v>27.8</v>
      </c>
      <c r="D115" s="1231">
        <v>15</v>
      </c>
      <c r="E115" s="1231">
        <v>33.299999999999997</v>
      </c>
      <c r="F115" s="1231">
        <v>13</v>
      </c>
      <c r="G115" s="1231">
        <v>61.5</v>
      </c>
      <c r="H115" s="1233"/>
    </row>
    <row r="116" spans="1:23" x14ac:dyDescent="0.25">
      <c r="A116" s="1233">
        <v>2.8</v>
      </c>
      <c r="B116" s="1231">
        <v>18</v>
      </c>
      <c r="C116" s="1231">
        <v>30.6</v>
      </c>
      <c r="D116" s="1231">
        <v>16</v>
      </c>
      <c r="E116" s="1231">
        <v>25</v>
      </c>
      <c r="F116" s="1231">
        <v>14</v>
      </c>
      <c r="G116" s="1231">
        <v>50</v>
      </c>
      <c r="H116" s="1233"/>
    </row>
    <row r="117" spans="1:23" x14ac:dyDescent="0.25">
      <c r="A117" s="1233">
        <v>2.85</v>
      </c>
      <c r="B117" s="1231">
        <v>19</v>
      </c>
      <c r="C117" s="1231">
        <v>25</v>
      </c>
      <c r="D117" s="1231">
        <v>16</v>
      </c>
      <c r="E117" s="1231">
        <v>28.1</v>
      </c>
      <c r="F117" s="1231">
        <v>14</v>
      </c>
      <c r="G117" s="1231">
        <v>53.6</v>
      </c>
      <c r="H117" s="1233"/>
    </row>
    <row r="118" spans="1:23" x14ac:dyDescent="0.25">
      <c r="A118" s="1233">
        <v>2.9</v>
      </c>
      <c r="B118" s="1231">
        <v>19</v>
      </c>
      <c r="C118" s="1231">
        <v>27.6</v>
      </c>
      <c r="D118" s="1231">
        <v>16</v>
      </c>
      <c r="E118" s="1231">
        <v>31.3</v>
      </c>
      <c r="F118" s="1231">
        <v>14</v>
      </c>
      <c r="G118" s="1231">
        <v>57.1</v>
      </c>
      <c r="H118" s="1233"/>
    </row>
    <row r="119" spans="1:23" x14ac:dyDescent="0.25">
      <c r="A119" s="1233">
        <v>2.95</v>
      </c>
      <c r="B119" s="1231">
        <v>19</v>
      </c>
      <c r="C119" s="1231">
        <v>30.3</v>
      </c>
      <c r="D119" s="1231">
        <v>16</v>
      </c>
      <c r="E119" s="1231">
        <v>34.4</v>
      </c>
      <c r="F119" s="1231">
        <v>14</v>
      </c>
      <c r="G119" s="1231">
        <v>60.7</v>
      </c>
      <c r="H119" s="1233"/>
    </row>
    <row r="120" spans="1:23" x14ac:dyDescent="0.25">
      <c r="A120" s="1233">
        <v>3</v>
      </c>
      <c r="B120" s="1231">
        <v>20</v>
      </c>
      <c r="C120" s="1231">
        <v>25</v>
      </c>
      <c r="D120" s="1231">
        <v>17</v>
      </c>
      <c r="E120" s="1231">
        <v>26.5</v>
      </c>
      <c r="F120" s="1231">
        <v>15</v>
      </c>
      <c r="G120" s="1231">
        <v>50</v>
      </c>
      <c r="H120" s="1233"/>
    </row>
    <row r="122" spans="1:23" x14ac:dyDescent="0.25">
      <c r="A122" s="1235">
        <v>1</v>
      </c>
      <c r="B122" s="1236">
        <v>2</v>
      </c>
      <c r="C122" s="1236">
        <v>3</v>
      </c>
      <c r="D122" s="1236">
        <v>4</v>
      </c>
      <c r="E122" s="1236">
        <v>5</v>
      </c>
      <c r="F122" s="1236">
        <v>6</v>
      </c>
      <c r="G122" s="1236">
        <v>7</v>
      </c>
      <c r="H122" s="1236">
        <v>8</v>
      </c>
      <c r="I122" s="1236">
        <v>9</v>
      </c>
      <c r="J122" s="1236">
        <v>10</v>
      </c>
      <c r="K122" s="1236">
        <v>11</v>
      </c>
      <c r="L122" s="1236">
        <v>12</v>
      </c>
      <c r="M122" s="1236">
        <v>13</v>
      </c>
      <c r="N122" s="1236">
        <v>14</v>
      </c>
      <c r="O122" s="1236">
        <v>15</v>
      </c>
      <c r="P122" s="1236">
        <v>16</v>
      </c>
      <c r="Q122" s="1236">
        <v>17</v>
      </c>
      <c r="R122" s="1236">
        <v>18</v>
      </c>
      <c r="S122" s="1236">
        <v>19</v>
      </c>
      <c r="T122" s="1236">
        <v>20</v>
      </c>
      <c r="U122" s="1236">
        <v>21</v>
      </c>
      <c r="V122" s="1236">
        <v>22</v>
      </c>
      <c r="W122" s="1236">
        <v>23</v>
      </c>
    </row>
    <row r="123" spans="1:23" ht="51" x14ac:dyDescent="0.25">
      <c r="A123" s="2546" t="s">
        <v>1269</v>
      </c>
      <c r="B123" s="2547" t="s">
        <v>1270</v>
      </c>
      <c r="C123" s="2547"/>
      <c r="D123" s="2547" t="s">
        <v>1271</v>
      </c>
      <c r="E123" s="2547"/>
      <c r="F123" s="2547" t="s">
        <v>1272</v>
      </c>
      <c r="G123" s="2547"/>
      <c r="H123" s="2547" t="s">
        <v>1273</v>
      </c>
      <c r="I123" s="2547"/>
      <c r="J123" s="1238" t="s">
        <v>1274</v>
      </c>
      <c r="K123" s="1238" t="s">
        <v>1275</v>
      </c>
      <c r="L123" s="1238" t="s">
        <v>1042</v>
      </c>
      <c r="M123" s="1238" t="s">
        <v>1043</v>
      </c>
      <c r="N123" s="1238" t="s">
        <v>1276</v>
      </c>
      <c r="O123" s="1238" t="s">
        <v>1277</v>
      </c>
      <c r="P123" s="1238" t="s">
        <v>1278</v>
      </c>
      <c r="Q123" s="1238" t="s">
        <v>1054</v>
      </c>
      <c r="R123" s="1238" t="s">
        <v>1055</v>
      </c>
      <c r="S123" s="1238" t="s">
        <v>1056</v>
      </c>
      <c r="T123" s="1238" t="s">
        <v>1057</v>
      </c>
      <c r="U123" s="1238" t="s">
        <v>1058</v>
      </c>
      <c r="V123" s="1238" t="s">
        <v>1059</v>
      </c>
      <c r="W123" s="1238" t="s">
        <v>1215</v>
      </c>
    </row>
    <row r="124" spans="1:23" x14ac:dyDescent="0.25">
      <c r="A124" s="2546"/>
      <c r="B124" s="1268" t="s">
        <v>1279</v>
      </c>
      <c r="C124" s="1268" t="s">
        <v>1280</v>
      </c>
      <c r="D124" s="1268" t="s">
        <v>1279</v>
      </c>
      <c r="E124" s="1268" t="s">
        <v>1280</v>
      </c>
      <c r="F124" s="1268" t="s">
        <v>1279</v>
      </c>
      <c r="G124" s="1268" t="s">
        <v>1280</v>
      </c>
      <c r="H124" s="1268" t="s">
        <v>1279</v>
      </c>
      <c r="I124" s="1268" t="s">
        <v>1280</v>
      </c>
      <c r="J124" s="1268" t="s">
        <v>1279</v>
      </c>
      <c r="K124" s="1268" t="s">
        <v>1279</v>
      </c>
      <c r="L124" s="1268" t="s">
        <v>1279</v>
      </c>
      <c r="M124" s="1268" t="s">
        <v>1279</v>
      </c>
      <c r="N124" s="1268" t="s">
        <v>1280</v>
      </c>
      <c r="O124" s="1268" t="s">
        <v>1280</v>
      </c>
      <c r="P124" s="1268" t="s">
        <v>1280</v>
      </c>
      <c r="Q124" s="1268" t="s">
        <v>1280</v>
      </c>
      <c r="R124" s="1268" t="s">
        <v>1280</v>
      </c>
      <c r="S124" s="1268" t="s">
        <v>1280</v>
      </c>
      <c r="T124" s="1268" t="s">
        <v>1280</v>
      </c>
      <c r="U124" s="1268" t="s">
        <v>1280</v>
      </c>
      <c r="V124" s="1268" t="s">
        <v>1280</v>
      </c>
      <c r="W124" s="1268"/>
    </row>
    <row r="125" spans="1:23" x14ac:dyDescent="0.25">
      <c r="A125" s="1240" t="s">
        <v>959</v>
      </c>
      <c r="B125" s="1269" t="s">
        <v>18</v>
      </c>
      <c r="C125" s="1270">
        <v>0</v>
      </c>
      <c r="D125" s="1269" t="s">
        <v>18</v>
      </c>
      <c r="E125" s="1270">
        <v>0</v>
      </c>
      <c r="F125" s="1269" t="s">
        <v>18</v>
      </c>
      <c r="G125" s="1270">
        <v>0</v>
      </c>
      <c r="H125" s="1269" t="s">
        <v>18</v>
      </c>
      <c r="I125" s="1270">
        <v>0</v>
      </c>
      <c r="J125" s="1269" t="s">
        <v>18</v>
      </c>
      <c r="K125" s="1269" t="s">
        <v>18</v>
      </c>
      <c r="L125" s="1269" t="s">
        <v>18</v>
      </c>
      <c r="M125" s="1269" t="s">
        <v>18</v>
      </c>
      <c r="N125" s="1271">
        <v>0</v>
      </c>
      <c r="O125" s="1270">
        <v>0</v>
      </c>
      <c r="P125" s="1271">
        <v>0</v>
      </c>
      <c r="Q125" s="1271">
        <v>0</v>
      </c>
      <c r="R125" s="1271">
        <v>0</v>
      </c>
      <c r="S125" s="1271">
        <v>0</v>
      </c>
      <c r="T125" s="1271">
        <v>0</v>
      </c>
      <c r="U125" s="1271">
        <v>0</v>
      </c>
      <c r="V125" s="1271">
        <v>0</v>
      </c>
      <c r="W125" s="1271">
        <v>0</v>
      </c>
    </row>
    <row r="126" spans="1:23" x14ac:dyDescent="0.25">
      <c r="A126" s="1240" t="s">
        <v>1281</v>
      </c>
      <c r="B126" s="1239">
        <v>0.84</v>
      </c>
      <c r="C126" s="1240">
        <v>8</v>
      </c>
      <c r="D126" s="1239">
        <v>0.84</v>
      </c>
      <c r="E126" s="1240">
        <v>2</v>
      </c>
      <c r="F126" s="1239">
        <v>0.84</v>
      </c>
      <c r="G126" s="1240">
        <v>5</v>
      </c>
      <c r="H126" s="1239">
        <v>0.84</v>
      </c>
      <c r="I126" s="1240">
        <v>2</v>
      </c>
      <c r="J126" s="1240">
        <v>1.34</v>
      </c>
      <c r="K126" s="1240">
        <v>1.3</v>
      </c>
      <c r="L126" s="1240">
        <v>0.86</v>
      </c>
      <c r="M126" s="1240">
        <v>0.86</v>
      </c>
      <c r="N126" s="1240">
        <v>48</v>
      </c>
      <c r="O126" s="1240">
        <v>30</v>
      </c>
      <c r="P126" s="1240">
        <v>9</v>
      </c>
      <c r="Q126" s="1240">
        <v>1</v>
      </c>
      <c r="R126" s="1240">
        <v>0</v>
      </c>
      <c r="S126" s="1240">
        <v>0</v>
      </c>
      <c r="T126" s="1240">
        <v>1</v>
      </c>
      <c r="U126" s="1240">
        <v>0</v>
      </c>
      <c r="V126" s="1240">
        <v>0</v>
      </c>
      <c r="W126" s="1240">
        <v>1.5</v>
      </c>
    </row>
    <row r="127" spans="1:23" x14ac:dyDescent="0.25">
      <c r="A127" s="1240" t="s">
        <v>1282</v>
      </c>
      <c r="B127" s="1239">
        <v>0.84</v>
      </c>
      <c r="C127" s="1240">
        <v>10</v>
      </c>
      <c r="D127" s="1239">
        <v>0.84</v>
      </c>
      <c r="E127" s="1240">
        <v>2</v>
      </c>
      <c r="F127" s="1239">
        <v>0.84</v>
      </c>
      <c r="G127" s="1240">
        <v>7</v>
      </c>
      <c r="H127" s="1239">
        <v>0.84</v>
      </c>
      <c r="I127" s="1240">
        <v>2</v>
      </c>
      <c r="J127" s="1240">
        <v>1.64</v>
      </c>
      <c r="K127" s="1240">
        <v>1.61</v>
      </c>
      <c r="L127" s="1240">
        <v>0.86</v>
      </c>
      <c r="M127" s="1240">
        <v>0.86</v>
      </c>
      <c r="N127" s="1240">
        <v>60</v>
      </c>
      <c r="O127" s="1240">
        <v>42</v>
      </c>
      <c r="P127" s="1240">
        <v>9</v>
      </c>
      <c r="Q127" s="1240">
        <v>0</v>
      </c>
      <c r="R127" s="1240">
        <v>1</v>
      </c>
      <c r="S127" s="1240">
        <v>0</v>
      </c>
      <c r="T127" s="1240">
        <v>0</v>
      </c>
      <c r="U127" s="1240">
        <v>1</v>
      </c>
      <c r="V127" s="1240">
        <v>0</v>
      </c>
      <c r="W127" s="1240">
        <v>1.8</v>
      </c>
    </row>
    <row r="128" spans="1:23" x14ac:dyDescent="0.25">
      <c r="A128" s="1240" t="s">
        <v>1186</v>
      </c>
      <c r="B128" s="1239">
        <v>0.86</v>
      </c>
      <c r="C128" s="1240">
        <v>11</v>
      </c>
      <c r="D128" s="1239">
        <v>0.86</v>
      </c>
      <c r="E128" s="1240">
        <v>2</v>
      </c>
      <c r="F128" s="1239">
        <v>0.86</v>
      </c>
      <c r="G128" s="1240">
        <v>8</v>
      </c>
      <c r="H128" s="1239">
        <v>0.86</v>
      </c>
      <c r="I128" s="1240">
        <v>2</v>
      </c>
      <c r="J128" s="1240">
        <v>1.79</v>
      </c>
      <c r="K128" s="1240">
        <v>1.81</v>
      </c>
      <c r="L128" s="1240">
        <v>0.86</v>
      </c>
      <c r="M128" s="1240">
        <v>0.86</v>
      </c>
      <c r="N128" s="1240">
        <v>66</v>
      </c>
      <c r="O128" s="1240">
        <v>48</v>
      </c>
      <c r="P128" s="1240">
        <v>9</v>
      </c>
      <c r="Q128" s="1240">
        <v>0</v>
      </c>
      <c r="R128" s="1240">
        <v>0</v>
      </c>
      <c r="S128" s="1240">
        <v>0</v>
      </c>
      <c r="T128" s="1240">
        <v>0</v>
      </c>
      <c r="U128" s="1240">
        <v>0</v>
      </c>
      <c r="V128" s="1240">
        <v>0</v>
      </c>
      <c r="W128" s="1240">
        <v>2</v>
      </c>
    </row>
    <row r="129" spans="1:43" x14ac:dyDescent="0.25">
      <c r="A129" s="1240" t="s">
        <v>1185</v>
      </c>
      <c r="B129" s="1239">
        <v>0.84</v>
      </c>
      <c r="C129" s="1240">
        <v>11</v>
      </c>
      <c r="D129" s="1239">
        <v>0.84</v>
      </c>
      <c r="E129" s="1240">
        <v>2</v>
      </c>
      <c r="F129" s="1239">
        <v>0.84</v>
      </c>
      <c r="G129" s="1240">
        <v>8</v>
      </c>
      <c r="H129" s="1239">
        <v>0.84</v>
      </c>
      <c r="I129" s="1240">
        <v>2</v>
      </c>
      <c r="J129" s="1240">
        <v>1.79</v>
      </c>
      <c r="K129" s="1240">
        <v>1.81</v>
      </c>
      <c r="L129" s="1240">
        <v>0.86</v>
      </c>
      <c r="M129" s="1240">
        <v>0.86</v>
      </c>
      <c r="N129" s="1240">
        <v>66</v>
      </c>
      <c r="O129" s="1240">
        <v>48</v>
      </c>
      <c r="P129" s="1240">
        <v>9</v>
      </c>
      <c r="Q129" s="1240">
        <v>0</v>
      </c>
      <c r="R129" s="1240">
        <v>0</v>
      </c>
      <c r="S129" s="1240">
        <v>1</v>
      </c>
      <c r="T129" s="1240">
        <v>0</v>
      </c>
      <c r="U129" s="1240">
        <v>0</v>
      </c>
      <c r="V129" s="1240">
        <v>1</v>
      </c>
      <c r="W129" s="1240">
        <v>2</v>
      </c>
    </row>
    <row r="130" spans="1:43" x14ac:dyDescent="0.25">
      <c r="B130" s="1272">
        <v>0.01</v>
      </c>
    </row>
    <row r="131" spans="1:43" x14ac:dyDescent="0.25">
      <c r="A131" s="1235">
        <v>1</v>
      </c>
      <c r="B131" s="1235">
        <v>2</v>
      </c>
      <c r="C131" s="1235">
        <v>3</v>
      </c>
      <c r="D131" s="1235">
        <v>4</v>
      </c>
      <c r="E131" s="1235">
        <v>5</v>
      </c>
      <c r="F131" s="1235">
        <v>6</v>
      </c>
      <c r="G131" s="1235">
        <v>7</v>
      </c>
      <c r="H131" s="1235">
        <v>8</v>
      </c>
      <c r="I131" s="1235">
        <v>9</v>
      </c>
      <c r="J131" s="1235">
        <v>10</v>
      </c>
      <c r="K131" s="1235">
        <v>11</v>
      </c>
      <c r="L131" s="1235">
        <v>12</v>
      </c>
      <c r="M131" s="1235">
        <v>13</v>
      </c>
      <c r="N131" s="1235">
        <v>14</v>
      </c>
      <c r="O131" s="1235">
        <v>15</v>
      </c>
      <c r="P131" s="1235">
        <v>16</v>
      </c>
      <c r="Q131" s="1235">
        <v>17</v>
      </c>
      <c r="R131" s="1235">
        <v>18</v>
      </c>
      <c r="S131" s="1235">
        <v>19</v>
      </c>
      <c r="T131" s="1235">
        <v>20</v>
      </c>
      <c r="U131" s="1235">
        <v>21</v>
      </c>
      <c r="V131" s="1235">
        <v>22</v>
      </c>
      <c r="W131" s="1235">
        <v>23</v>
      </c>
      <c r="X131" s="1235">
        <v>24</v>
      </c>
      <c r="Y131" s="1235">
        <v>25</v>
      </c>
      <c r="Z131" s="1235">
        <v>26</v>
      </c>
      <c r="AA131" s="1235">
        <v>27</v>
      </c>
      <c r="AB131" s="1235">
        <v>28</v>
      </c>
      <c r="AC131" s="1235">
        <v>29</v>
      </c>
      <c r="AD131" s="1235">
        <v>30</v>
      </c>
      <c r="AE131" s="1235">
        <v>31</v>
      </c>
      <c r="AF131" s="1235">
        <v>32</v>
      </c>
      <c r="AG131" s="1235">
        <v>33</v>
      </c>
      <c r="AH131" s="1235">
        <v>34</v>
      </c>
      <c r="AI131" s="1235">
        <v>35</v>
      </c>
      <c r="AJ131" s="1235">
        <v>36</v>
      </c>
      <c r="AK131" s="1235">
        <v>37</v>
      </c>
      <c r="AL131" s="1235">
        <v>38</v>
      </c>
      <c r="AM131" s="1235">
        <v>39</v>
      </c>
      <c r="AN131" s="1235">
        <v>40</v>
      </c>
      <c r="AO131" s="1235">
        <v>41</v>
      </c>
      <c r="AP131" s="1235">
        <v>42</v>
      </c>
      <c r="AQ131" s="1235">
        <v>43</v>
      </c>
    </row>
    <row r="132" spans="1:43" ht="52.5" customHeight="1" x14ac:dyDescent="0.25">
      <c r="A132" s="2546" t="s">
        <v>1283</v>
      </c>
      <c r="B132" s="2547" t="s">
        <v>1284</v>
      </c>
      <c r="C132" s="2547"/>
      <c r="D132" s="2547" t="s">
        <v>1285</v>
      </c>
      <c r="E132" s="2547"/>
      <c r="F132" s="2547" t="s">
        <v>1286</v>
      </c>
      <c r="G132" s="2547"/>
      <c r="H132" s="2547" t="s">
        <v>1287</v>
      </c>
      <c r="I132" s="2547"/>
      <c r="J132" s="2544" t="s">
        <v>1274</v>
      </c>
      <c r="K132" s="2545"/>
      <c r="L132" s="2544" t="s">
        <v>1275</v>
      </c>
      <c r="M132" s="2545"/>
      <c r="N132" s="2544" t="s">
        <v>1288</v>
      </c>
      <c r="O132" s="2545"/>
      <c r="P132" s="2544" t="s">
        <v>1289</v>
      </c>
      <c r="Q132" s="2545"/>
      <c r="R132" s="1238" t="s">
        <v>1276</v>
      </c>
      <c r="S132" s="1238" t="s">
        <v>1277</v>
      </c>
      <c r="T132" s="1238" t="s">
        <v>1278</v>
      </c>
      <c r="U132" s="1238" t="s">
        <v>1054</v>
      </c>
      <c r="V132" s="1238" t="s">
        <v>1055</v>
      </c>
      <c r="W132" s="1238" t="s">
        <v>1056</v>
      </c>
      <c r="X132" s="1238" t="s">
        <v>1057</v>
      </c>
      <c r="Y132" s="1238" t="s">
        <v>1058</v>
      </c>
      <c r="Z132" s="1238" t="s">
        <v>1059</v>
      </c>
      <c r="AA132" s="2544" t="s">
        <v>1290</v>
      </c>
      <c r="AB132" s="2545"/>
      <c r="AC132" s="2544" t="s">
        <v>1291</v>
      </c>
      <c r="AD132" s="2545"/>
      <c r="AE132" s="2538" t="s">
        <v>1292</v>
      </c>
      <c r="AF132" s="2539"/>
      <c r="AG132" s="2538" t="s">
        <v>1293</v>
      </c>
      <c r="AH132" s="2539"/>
      <c r="AI132" s="2538" t="s">
        <v>1294</v>
      </c>
      <c r="AJ132" s="2539"/>
      <c r="AK132" s="2538" t="s">
        <v>1295</v>
      </c>
      <c r="AL132" s="2539"/>
      <c r="AM132" s="2540" t="s">
        <v>1044</v>
      </c>
      <c r="AN132" s="2541"/>
      <c r="AO132" s="2541"/>
      <c r="AP132" s="1273" t="s">
        <v>978</v>
      </c>
      <c r="AQ132" s="1273" t="s">
        <v>1215</v>
      </c>
    </row>
    <row r="133" spans="1:43" x14ac:dyDescent="0.25">
      <c r="A133" s="2546"/>
      <c r="B133" s="1268" t="s">
        <v>1279</v>
      </c>
      <c r="C133" s="1268" t="s">
        <v>1280</v>
      </c>
      <c r="D133" s="1268" t="s">
        <v>1279</v>
      </c>
      <c r="E133" s="1268" t="s">
        <v>1280</v>
      </c>
      <c r="F133" s="1268" t="s">
        <v>1279</v>
      </c>
      <c r="G133" s="1268" t="s">
        <v>1280</v>
      </c>
      <c r="H133" s="1268" t="s">
        <v>1279</v>
      </c>
      <c r="I133" s="1268" t="s">
        <v>1280</v>
      </c>
      <c r="J133" s="1268" t="s">
        <v>1279</v>
      </c>
      <c r="K133" s="1268" t="s">
        <v>1280</v>
      </c>
      <c r="L133" s="1268" t="s">
        <v>1279</v>
      </c>
      <c r="M133" s="1268" t="s">
        <v>1280</v>
      </c>
      <c r="N133" s="1268" t="s">
        <v>1279</v>
      </c>
      <c r="O133" s="1268" t="s">
        <v>1280</v>
      </c>
      <c r="P133" s="1268" t="s">
        <v>1279</v>
      </c>
      <c r="Q133" s="1268" t="s">
        <v>1280</v>
      </c>
      <c r="R133" s="1268" t="s">
        <v>1280</v>
      </c>
      <c r="S133" s="1268" t="s">
        <v>1280</v>
      </c>
      <c r="T133" s="1268" t="s">
        <v>1280</v>
      </c>
      <c r="U133" s="1268" t="s">
        <v>1280</v>
      </c>
      <c r="V133" s="1268" t="s">
        <v>1280</v>
      </c>
      <c r="W133" s="1268" t="s">
        <v>1280</v>
      </c>
      <c r="X133" s="1268" t="s">
        <v>1280</v>
      </c>
      <c r="Y133" s="1268" t="s">
        <v>1280</v>
      </c>
      <c r="Z133" s="1268" t="s">
        <v>1280</v>
      </c>
      <c r="AA133" s="1268" t="s">
        <v>1279</v>
      </c>
      <c r="AB133" s="1268" t="s">
        <v>1280</v>
      </c>
      <c r="AC133" s="1268" t="s">
        <v>1279</v>
      </c>
      <c r="AD133" s="1268" t="s">
        <v>1280</v>
      </c>
      <c r="AE133" s="1268" t="s">
        <v>1279</v>
      </c>
      <c r="AF133" s="1268" t="s">
        <v>1280</v>
      </c>
      <c r="AG133" s="1268" t="s">
        <v>1279</v>
      </c>
      <c r="AH133" s="1268" t="s">
        <v>1280</v>
      </c>
      <c r="AI133" s="1268" t="s">
        <v>1279</v>
      </c>
      <c r="AJ133" s="1268" t="s">
        <v>1280</v>
      </c>
      <c r="AK133" s="1268" t="s">
        <v>1279</v>
      </c>
      <c r="AL133" s="1268" t="s">
        <v>1280</v>
      </c>
      <c r="AM133" s="1268" t="s">
        <v>1279</v>
      </c>
      <c r="AN133" s="1268" t="s">
        <v>1280</v>
      </c>
      <c r="AO133" s="1274" t="s">
        <v>1279</v>
      </c>
      <c r="AP133" s="1268" t="s">
        <v>1280</v>
      </c>
      <c r="AQ133" s="1268"/>
    </row>
    <row r="134" spans="1:43" x14ac:dyDescent="0.25">
      <c r="A134" s="1270" t="s">
        <v>959</v>
      </c>
      <c r="B134" s="1269" t="s">
        <v>18</v>
      </c>
      <c r="C134" s="1270">
        <v>0</v>
      </c>
      <c r="D134" s="1269" t="s">
        <v>18</v>
      </c>
      <c r="E134" s="1270">
        <v>0</v>
      </c>
      <c r="F134" s="1269" t="s">
        <v>18</v>
      </c>
      <c r="G134" s="1270">
        <v>0</v>
      </c>
      <c r="H134" s="1269" t="s">
        <v>18</v>
      </c>
      <c r="I134" s="1270">
        <v>0</v>
      </c>
      <c r="J134" s="1269" t="s">
        <v>18</v>
      </c>
      <c r="K134" s="1239">
        <v>0</v>
      </c>
      <c r="L134" s="1269" t="s">
        <v>18</v>
      </c>
      <c r="M134" s="1239">
        <v>0</v>
      </c>
      <c r="N134" s="1269" t="s">
        <v>18</v>
      </c>
      <c r="O134" s="1239"/>
      <c r="P134" s="1269" t="s">
        <v>18</v>
      </c>
      <c r="Q134" s="1239"/>
      <c r="R134" s="1271">
        <v>0</v>
      </c>
      <c r="S134" s="1270">
        <v>0</v>
      </c>
      <c r="T134" s="1271">
        <v>0</v>
      </c>
      <c r="U134" s="1271">
        <v>0</v>
      </c>
      <c r="V134" s="1271">
        <v>0</v>
      </c>
      <c r="W134" s="1271">
        <v>0</v>
      </c>
      <c r="X134" s="1271">
        <v>0</v>
      </c>
      <c r="Y134" s="1271">
        <v>0</v>
      </c>
      <c r="Z134" s="1271">
        <v>0</v>
      </c>
      <c r="AA134" s="1250" t="s">
        <v>18</v>
      </c>
      <c r="AB134" s="1250">
        <v>0</v>
      </c>
      <c r="AC134" s="1250" t="s">
        <v>18</v>
      </c>
      <c r="AD134" s="1250">
        <v>0</v>
      </c>
      <c r="AE134" s="1250" t="s">
        <v>18</v>
      </c>
      <c r="AF134" s="1250">
        <v>0</v>
      </c>
      <c r="AG134" s="1250" t="s">
        <v>18</v>
      </c>
      <c r="AH134" s="1250">
        <v>0</v>
      </c>
      <c r="AI134" s="1250" t="s">
        <v>18</v>
      </c>
      <c r="AJ134" s="1250">
        <v>0</v>
      </c>
      <c r="AK134" s="1250" t="s">
        <v>18</v>
      </c>
      <c r="AL134" s="1250">
        <v>0</v>
      </c>
      <c r="AM134" s="1269" t="s">
        <v>18</v>
      </c>
      <c r="AN134" s="1239">
        <v>0</v>
      </c>
      <c r="AO134" s="1239" t="s">
        <v>18</v>
      </c>
      <c r="AP134" s="1239">
        <v>0</v>
      </c>
      <c r="AQ134" s="1239">
        <v>0</v>
      </c>
    </row>
    <row r="135" spans="1:43" x14ac:dyDescent="0.25">
      <c r="A135" s="1240" t="s">
        <v>1296</v>
      </c>
      <c r="B135" s="1275">
        <v>1.65</v>
      </c>
      <c r="C135" s="1240">
        <v>16</v>
      </c>
      <c r="D135" s="1275">
        <v>1.65</v>
      </c>
      <c r="E135" s="1240">
        <v>4</v>
      </c>
      <c r="F135" s="1275">
        <v>1.65</v>
      </c>
      <c r="G135" s="1240">
        <v>10</v>
      </c>
      <c r="H135" s="1275">
        <v>1.65</v>
      </c>
      <c r="I135" s="1240">
        <v>4</v>
      </c>
      <c r="J135" s="1240">
        <v>1.8</v>
      </c>
      <c r="K135" s="1240">
        <v>4</v>
      </c>
      <c r="L135" s="1240">
        <v>1.3</v>
      </c>
      <c r="M135" s="1240">
        <v>4</v>
      </c>
      <c r="N135" s="1240">
        <v>1.67</v>
      </c>
      <c r="O135" s="1239">
        <v>2</v>
      </c>
      <c r="P135" s="1240">
        <v>1.67</v>
      </c>
      <c r="Q135" s="1239">
        <v>2</v>
      </c>
      <c r="R135" s="1240">
        <v>96</v>
      </c>
      <c r="S135" s="1240">
        <v>60</v>
      </c>
      <c r="T135" s="1240">
        <v>9</v>
      </c>
      <c r="U135" s="1240">
        <v>2</v>
      </c>
      <c r="V135" s="1240">
        <v>0</v>
      </c>
      <c r="W135" s="1240">
        <v>0</v>
      </c>
      <c r="X135" s="1240">
        <v>2</v>
      </c>
      <c r="Y135" s="1240">
        <v>0</v>
      </c>
      <c r="Z135" s="1240">
        <v>0</v>
      </c>
      <c r="AA135" s="1250" t="s">
        <v>18</v>
      </c>
      <c r="AB135" s="1250">
        <v>0</v>
      </c>
      <c r="AC135" s="1250">
        <v>0</v>
      </c>
      <c r="AD135" s="1250">
        <v>0</v>
      </c>
      <c r="AE135" s="1250" t="s">
        <v>18</v>
      </c>
      <c r="AF135" s="1250">
        <v>0</v>
      </c>
      <c r="AG135" s="1250" t="s">
        <v>18</v>
      </c>
      <c r="AH135" s="1250">
        <v>0</v>
      </c>
      <c r="AI135" s="1250" t="s">
        <v>18</v>
      </c>
      <c r="AJ135" s="1250">
        <v>0</v>
      </c>
      <c r="AK135" s="1250" t="s">
        <v>18</v>
      </c>
      <c r="AL135" s="1250">
        <v>0</v>
      </c>
      <c r="AM135" s="1240">
        <v>1.67</v>
      </c>
      <c r="AN135" s="1239">
        <v>2</v>
      </c>
      <c r="AO135" s="1239">
        <v>2</v>
      </c>
      <c r="AP135" s="1239">
        <v>2</v>
      </c>
      <c r="AQ135" s="1239">
        <v>1.5</v>
      </c>
    </row>
    <row r="136" spans="1:43" x14ac:dyDescent="0.25">
      <c r="A136" s="1240" t="s">
        <v>1297</v>
      </c>
      <c r="B136" s="1275">
        <v>1.65</v>
      </c>
      <c r="C136" s="1240">
        <v>20</v>
      </c>
      <c r="D136" s="1275">
        <v>1.65</v>
      </c>
      <c r="E136" s="1240">
        <v>4</v>
      </c>
      <c r="F136" s="1275">
        <v>1.65</v>
      </c>
      <c r="G136" s="1240">
        <v>14</v>
      </c>
      <c r="H136" s="1275">
        <v>1.65</v>
      </c>
      <c r="I136" s="1240">
        <v>4</v>
      </c>
      <c r="J136" s="1240">
        <v>1.8</v>
      </c>
      <c r="K136" s="1240">
        <v>4</v>
      </c>
      <c r="L136" s="1240">
        <v>1.61</v>
      </c>
      <c r="M136" s="1240">
        <v>4</v>
      </c>
      <c r="N136" s="1240">
        <v>1.67</v>
      </c>
      <c r="O136" s="1239">
        <v>2</v>
      </c>
      <c r="P136" s="1240">
        <v>1.67</v>
      </c>
      <c r="Q136" s="1239">
        <v>2</v>
      </c>
      <c r="R136" s="1240">
        <v>120</v>
      </c>
      <c r="S136" s="1240">
        <v>84</v>
      </c>
      <c r="T136" s="1240">
        <v>9</v>
      </c>
      <c r="U136" s="1240">
        <v>0</v>
      </c>
      <c r="V136" s="1240">
        <v>2</v>
      </c>
      <c r="W136" s="1240">
        <v>0</v>
      </c>
      <c r="X136" s="1240">
        <v>0</v>
      </c>
      <c r="Y136" s="1240">
        <v>2</v>
      </c>
      <c r="Z136" s="1240">
        <v>0</v>
      </c>
      <c r="AA136" s="1250" t="s">
        <v>18</v>
      </c>
      <c r="AB136" s="1250">
        <v>0</v>
      </c>
      <c r="AC136" s="1250">
        <v>0</v>
      </c>
      <c r="AD136" s="1250">
        <v>0</v>
      </c>
      <c r="AE136" s="1250" t="s">
        <v>18</v>
      </c>
      <c r="AF136" s="1250">
        <v>0</v>
      </c>
      <c r="AG136" s="1250" t="s">
        <v>18</v>
      </c>
      <c r="AH136" s="1250">
        <v>0</v>
      </c>
      <c r="AI136" s="1250" t="s">
        <v>18</v>
      </c>
      <c r="AJ136" s="1250">
        <v>0</v>
      </c>
      <c r="AK136" s="1250" t="s">
        <v>18</v>
      </c>
      <c r="AL136" s="1250">
        <v>0</v>
      </c>
      <c r="AM136" s="1240">
        <v>1.67</v>
      </c>
      <c r="AN136" s="1239">
        <v>2</v>
      </c>
      <c r="AO136" s="1239">
        <v>2</v>
      </c>
      <c r="AP136" s="1239">
        <v>2</v>
      </c>
      <c r="AQ136" s="1239">
        <v>1.5</v>
      </c>
    </row>
    <row r="137" spans="1:43" x14ac:dyDescent="0.25">
      <c r="A137" s="1240" t="s">
        <v>1194</v>
      </c>
      <c r="B137" s="1275">
        <v>1.65</v>
      </c>
      <c r="C137" s="1240">
        <v>22</v>
      </c>
      <c r="D137" s="1275">
        <v>1.65</v>
      </c>
      <c r="E137" s="1240">
        <v>4</v>
      </c>
      <c r="F137" s="1275">
        <v>1.65</v>
      </c>
      <c r="G137" s="1240">
        <v>16</v>
      </c>
      <c r="H137" s="1275">
        <v>1.65</v>
      </c>
      <c r="I137" s="1240">
        <v>4</v>
      </c>
      <c r="J137" s="1240">
        <v>1.8</v>
      </c>
      <c r="K137" s="1240">
        <v>4</v>
      </c>
      <c r="L137" s="1240">
        <v>1.81</v>
      </c>
      <c r="M137" s="1240">
        <v>4</v>
      </c>
      <c r="N137" s="1240">
        <v>1.67</v>
      </c>
      <c r="O137" s="1239">
        <v>2</v>
      </c>
      <c r="P137" s="1240">
        <v>1.67</v>
      </c>
      <c r="Q137" s="1239">
        <v>2</v>
      </c>
      <c r="R137" s="1240">
        <v>132</v>
      </c>
      <c r="S137" s="1240">
        <v>128</v>
      </c>
      <c r="T137" s="1240">
        <v>9</v>
      </c>
      <c r="U137" s="1240">
        <v>0</v>
      </c>
      <c r="V137" s="1240">
        <v>0</v>
      </c>
      <c r="W137" s="1240">
        <v>2</v>
      </c>
      <c r="X137" s="1240">
        <v>0</v>
      </c>
      <c r="Y137" s="1240">
        <v>0</v>
      </c>
      <c r="Z137" s="1240">
        <v>2</v>
      </c>
      <c r="AA137" s="1250" t="s">
        <v>18</v>
      </c>
      <c r="AB137" s="1250">
        <v>0</v>
      </c>
      <c r="AC137" s="1250">
        <v>0</v>
      </c>
      <c r="AD137" s="1250">
        <v>0</v>
      </c>
      <c r="AE137" s="1250" t="s">
        <v>18</v>
      </c>
      <c r="AF137" s="1250">
        <v>0</v>
      </c>
      <c r="AG137" s="1250" t="s">
        <v>18</v>
      </c>
      <c r="AH137" s="1250">
        <v>0</v>
      </c>
      <c r="AI137" s="1250" t="s">
        <v>18</v>
      </c>
      <c r="AJ137" s="1250">
        <v>0</v>
      </c>
      <c r="AK137" s="1250" t="s">
        <v>18</v>
      </c>
      <c r="AL137" s="1250">
        <v>0</v>
      </c>
      <c r="AM137" s="1240">
        <v>1.67</v>
      </c>
      <c r="AN137" s="1239">
        <v>2</v>
      </c>
      <c r="AO137" s="1239">
        <v>2</v>
      </c>
      <c r="AP137" s="1239">
        <v>2</v>
      </c>
      <c r="AQ137" s="1239">
        <v>2</v>
      </c>
    </row>
    <row r="138" spans="1:43" x14ac:dyDescent="0.25">
      <c r="A138" s="1240" t="s">
        <v>1191</v>
      </c>
      <c r="B138" s="1275">
        <v>1.86</v>
      </c>
      <c r="C138" s="1240">
        <v>18</v>
      </c>
      <c r="D138" s="1275">
        <v>1.86</v>
      </c>
      <c r="E138" s="1240">
        <v>4</v>
      </c>
      <c r="F138" s="1275">
        <v>1.86</v>
      </c>
      <c r="G138" s="1240">
        <v>12</v>
      </c>
      <c r="H138" s="1275">
        <v>1.86</v>
      </c>
      <c r="I138" s="1240">
        <v>4</v>
      </c>
      <c r="J138" s="1240">
        <v>1.86</v>
      </c>
      <c r="K138" s="1240">
        <v>4</v>
      </c>
      <c r="L138" s="1240">
        <v>1.69</v>
      </c>
      <c r="M138" s="1240">
        <v>4</v>
      </c>
      <c r="N138" s="1240">
        <v>1.93</v>
      </c>
      <c r="O138" s="1239">
        <v>2</v>
      </c>
      <c r="P138" s="1240">
        <v>1.93</v>
      </c>
      <c r="Q138" s="1239">
        <v>2</v>
      </c>
      <c r="R138" s="1276">
        <v>192</v>
      </c>
      <c r="S138" s="1276">
        <v>144</v>
      </c>
      <c r="T138" s="1276">
        <v>24</v>
      </c>
      <c r="U138" s="1271">
        <v>0</v>
      </c>
      <c r="V138" s="1271">
        <v>0</v>
      </c>
      <c r="W138" s="1271">
        <v>0</v>
      </c>
      <c r="X138" s="1271">
        <v>0</v>
      </c>
      <c r="Y138" s="1271">
        <v>0</v>
      </c>
      <c r="Z138" s="1271">
        <v>0</v>
      </c>
      <c r="AA138" s="1250" t="s">
        <v>18</v>
      </c>
      <c r="AB138" s="1250">
        <v>0</v>
      </c>
      <c r="AC138" s="1250" t="s">
        <v>18</v>
      </c>
      <c r="AD138" s="1250">
        <v>0</v>
      </c>
      <c r="AE138" s="1250" t="s">
        <v>18</v>
      </c>
      <c r="AF138" s="1250">
        <v>0</v>
      </c>
      <c r="AG138" s="1250" t="s">
        <v>18</v>
      </c>
      <c r="AH138" s="1250">
        <v>0</v>
      </c>
      <c r="AI138" s="1250" t="s">
        <v>18</v>
      </c>
      <c r="AJ138" s="1250">
        <v>0</v>
      </c>
      <c r="AK138" s="1250" t="s">
        <v>18</v>
      </c>
      <c r="AL138" s="1250">
        <v>0</v>
      </c>
      <c r="AM138" s="1240">
        <v>1.93</v>
      </c>
      <c r="AN138" s="1239">
        <v>2</v>
      </c>
      <c r="AO138" s="1239">
        <v>2</v>
      </c>
      <c r="AP138" s="1239">
        <v>2</v>
      </c>
      <c r="AQ138" s="1239">
        <v>2</v>
      </c>
    </row>
    <row r="139" spans="1:43" x14ac:dyDescent="0.25">
      <c r="A139" s="1240" t="s">
        <v>1192</v>
      </c>
      <c r="B139" s="1275">
        <v>1.86</v>
      </c>
      <c r="C139" s="1276">
        <v>22</v>
      </c>
      <c r="D139" s="1275">
        <v>1.86</v>
      </c>
      <c r="E139" s="1276">
        <v>4</v>
      </c>
      <c r="F139" s="1275">
        <v>1.86</v>
      </c>
      <c r="G139" s="1276">
        <v>16</v>
      </c>
      <c r="H139" s="1275">
        <v>1.86</v>
      </c>
      <c r="I139" s="1276">
        <v>4</v>
      </c>
      <c r="J139" s="1240">
        <v>1.86</v>
      </c>
      <c r="K139" s="1240">
        <v>4</v>
      </c>
      <c r="L139" s="1240">
        <v>1.69</v>
      </c>
      <c r="M139" s="1240">
        <v>4</v>
      </c>
      <c r="N139" s="1240">
        <v>1.93</v>
      </c>
      <c r="O139" s="1239">
        <v>2</v>
      </c>
      <c r="P139" s="1240">
        <v>1.93</v>
      </c>
      <c r="Q139" s="1239">
        <v>2</v>
      </c>
      <c r="R139" s="1276">
        <v>192</v>
      </c>
      <c r="S139" s="1276">
        <v>144</v>
      </c>
      <c r="T139" s="1276">
        <v>24</v>
      </c>
      <c r="U139" s="1271">
        <v>0</v>
      </c>
      <c r="V139" s="1271">
        <v>0</v>
      </c>
      <c r="W139" s="1271">
        <v>0</v>
      </c>
      <c r="X139" s="1271">
        <v>0</v>
      </c>
      <c r="Y139" s="1271">
        <v>0</v>
      </c>
      <c r="Z139" s="1271">
        <v>0</v>
      </c>
      <c r="AA139" s="1250" t="s">
        <v>18</v>
      </c>
      <c r="AB139" s="1250">
        <v>0</v>
      </c>
      <c r="AC139" s="1250" t="s">
        <v>18</v>
      </c>
      <c r="AD139" s="1250">
        <v>0</v>
      </c>
      <c r="AE139" s="1250" t="s">
        <v>18</v>
      </c>
      <c r="AF139" s="1250">
        <v>0</v>
      </c>
      <c r="AG139" s="1250" t="s">
        <v>18</v>
      </c>
      <c r="AH139" s="1250">
        <v>0</v>
      </c>
      <c r="AI139" s="1250" t="s">
        <v>18</v>
      </c>
      <c r="AJ139" s="1250">
        <v>0</v>
      </c>
      <c r="AK139" s="1250" t="s">
        <v>18</v>
      </c>
      <c r="AL139" s="1250">
        <v>0</v>
      </c>
      <c r="AM139" s="1240">
        <v>1.93</v>
      </c>
      <c r="AN139" s="1239">
        <v>2</v>
      </c>
      <c r="AO139" s="1239">
        <v>2</v>
      </c>
      <c r="AP139" s="1239">
        <v>2</v>
      </c>
      <c r="AQ139" s="1239">
        <v>2</v>
      </c>
    </row>
    <row r="140" spans="1:43" x14ac:dyDescent="0.25">
      <c r="A140" s="1240" t="s">
        <v>1298</v>
      </c>
      <c r="B140" s="1275">
        <v>1.65</v>
      </c>
      <c r="C140" s="1240">
        <v>14</v>
      </c>
      <c r="D140" s="1275">
        <v>1.65</v>
      </c>
      <c r="E140" s="1240">
        <v>4</v>
      </c>
      <c r="F140" s="1275">
        <v>1.65</v>
      </c>
      <c r="G140" s="1240">
        <v>10</v>
      </c>
      <c r="H140" s="1275">
        <v>1.65</v>
      </c>
      <c r="I140" s="1240">
        <v>2</v>
      </c>
      <c r="J140" s="1240">
        <v>1.8</v>
      </c>
      <c r="K140" s="1240">
        <v>4</v>
      </c>
      <c r="L140" s="1240">
        <v>1.19</v>
      </c>
      <c r="M140" s="1240">
        <v>4</v>
      </c>
      <c r="N140" s="1240">
        <v>1.67</v>
      </c>
      <c r="O140" s="1239">
        <v>2</v>
      </c>
      <c r="P140" s="1240">
        <v>1.67</v>
      </c>
      <c r="Q140" s="1239">
        <v>2</v>
      </c>
      <c r="R140" s="1240">
        <v>144</v>
      </c>
      <c r="S140" s="1240">
        <v>96</v>
      </c>
      <c r="T140" s="1240">
        <v>24</v>
      </c>
      <c r="U140" s="1271">
        <v>0</v>
      </c>
      <c r="V140" s="1271">
        <v>0</v>
      </c>
      <c r="W140" s="1271">
        <v>0</v>
      </c>
      <c r="X140" s="1271">
        <v>0</v>
      </c>
      <c r="Y140" s="1271">
        <v>0</v>
      </c>
      <c r="Z140" s="1271">
        <v>0</v>
      </c>
      <c r="AA140" s="1250" t="s">
        <v>18</v>
      </c>
      <c r="AB140" s="1250">
        <v>0</v>
      </c>
      <c r="AC140" s="1250">
        <v>0</v>
      </c>
      <c r="AD140" s="1250">
        <v>0</v>
      </c>
      <c r="AE140" s="1250" t="s">
        <v>18</v>
      </c>
      <c r="AF140" s="1250">
        <v>0</v>
      </c>
      <c r="AG140" s="1250" t="s">
        <v>18</v>
      </c>
      <c r="AH140" s="1250">
        <v>0</v>
      </c>
      <c r="AI140" s="1250" t="s">
        <v>18</v>
      </c>
      <c r="AJ140" s="1250">
        <v>0</v>
      </c>
      <c r="AK140" s="1250" t="s">
        <v>18</v>
      </c>
      <c r="AL140" s="1250">
        <v>0</v>
      </c>
      <c r="AM140" s="1240">
        <v>1.67</v>
      </c>
      <c r="AN140" s="1239">
        <v>2</v>
      </c>
      <c r="AO140" s="1239">
        <v>2</v>
      </c>
      <c r="AP140" s="1239">
        <v>2</v>
      </c>
      <c r="AQ140" s="1239">
        <v>1.5</v>
      </c>
    </row>
    <row r="141" spans="1:43" x14ac:dyDescent="0.25">
      <c r="A141" s="1240" t="s">
        <v>1299</v>
      </c>
      <c r="B141" s="1275">
        <v>1.91</v>
      </c>
      <c r="C141" s="1276">
        <v>14</v>
      </c>
      <c r="D141" s="1275">
        <v>1.91</v>
      </c>
      <c r="E141" s="1276">
        <v>4</v>
      </c>
      <c r="F141" s="1275">
        <v>1.91</v>
      </c>
      <c r="G141" s="1276">
        <v>10</v>
      </c>
      <c r="H141" s="1275">
        <v>1.91</v>
      </c>
      <c r="I141" s="1276">
        <v>2</v>
      </c>
      <c r="J141" s="1240">
        <v>1.8</v>
      </c>
      <c r="K141" s="1240">
        <v>4</v>
      </c>
      <c r="L141" s="1240">
        <v>1.19</v>
      </c>
      <c r="M141" s="1240">
        <v>4</v>
      </c>
      <c r="N141" s="1240">
        <v>1.93</v>
      </c>
      <c r="O141" s="1239">
        <v>2</v>
      </c>
      <c r="P141" s="1240">
        <v>1.93</v>
      </c>
      <c r="Q141" s="1239">
        <v>2</v>
      </c>
      <c r="R141" s="1276">
        <v>144</v>
      </c>
      <c r="S141" s="1276">
        <v>96</v>
      </c>
      <c r="T141" s="1276">
        <v>24</v>
      </c>
      <c r="U141" s="1271">
        <v>0</v>
      </c>
      <c r="V141" s="1271">
        <v>0</v>
      </c>
      <c r="W141" s="1271">
        <v>0</v>
      </c>
      <c r="X141" s="1271">
        <v>0</v>
      </c>
      <c r="Y141" s="1271">
        <v>0</v>
      </c>
      <c r="Z141" s="1271">
        <v>0</v>
      </c>
      <c r="AA141" s="1250" t="s">
        <v>18</v>
      </c>
      <c r="AB141" s="1250">
        <v>0</v>
      </c>
      <c r="AC141" s="1250">
        <v>0</v>
      </c>
      <c r="AD141" s="1250">
        <v>0</v>
      </c>
      <c r="AE141" s="1250" t="s">
        <v>18</v>
      </c>
      <c r="AF141" s="1250">
        <v>0</v>
      </c>
      <c r="AG141" s="1250" t="s">
        <v>18</v>
      </c>
      <c r="AH141" s="1250">
        <v>0</v>
      </c>
      <c r="AI141" s="1250" t="s">
        <v>18</v>
      </c>
      <c r="AJ141" s="1250">
        <v>0</v>
      </c>
      <c r="AK141" s="1250" t="s">
        <v>18</v>
      </c>
      <c r="AL141" s="1250">
        <v>0</v>
      </c>
      <c r="AM141" s="1240">
        <v>1.93</v>
      </c>
      <c r="AN141" s="1239">
        <v>2</v>
      </c>
      <c r="AO141" s="1239">
        <v>2</v>
      </c>
      <c r="AP141" s="1239">
        <v>2</v>
      </c>
      <c r="AQ141" s="1239">
        <v>1.5</v>
      </c>
    </row>
    <row r="142" spans="1:43" x14ac:dyDescent="0.25">
      <c r="A142" s="1240" t="s">
        <v>1300</v>
      </c>
      <c r="B142" s="1277">
        <v>2.11</v>
      </c>
      <c r="C142" s="1276">
        <v>14</v>
      </c>
      <c r="D142" s="1277">
        <v>2.11</v>
      </c>
      <c r="E142" s="1276">
        <v>4</v>
      </c>
      <c r="F142" s="1277">
        <v>2.11</v>
      </c>
      <c r="G142" s="1276">
        <v>10</v>
      </c>
      <c r="H142" s="1277">
        <v>2.11</v>
      </c>
      <c r="I142" s="1276">
        <v>2</v>
      </c>
      <c r="J142" s="1276">
        <v>1.8</v>
      </c>
      <c r="K142" s="1240">
        <v>4</v>
      </c>
      <c r="L142" s="1276">
        <v>1.19</v>
      </c>
      <c r="M142" s="1240">
        <v>4</v>
      </c>
      <c r="N142" s="1276">
        <v>2.13</v>
      </c>
      <c r="O142" s="1239">
        <v>2</v>
      </c>
      <c r="P142" s="1276">
        <v>2.13</v>
      </c>
      <c r="Q142" s="1239">
        <v>2</v>
      </c>
      <c r="R142" s="1276">
        <v>144</v>
      </c>
      <c r="S142" s="1276">
        <v>96</v>
      </c>
      <c r="T142" s="1276">
        <v>24</v>
      </c>
      <c r="U142" s="1271">
        <v>0</v>
      </c>
      <c r="V142" s="1271">
        <v>0</v>
      </c>
      <c r="W142" s="1271">
        <v>0</v>
      </c>
      <c r="X142" s="1271">
        <v>0</v>
      </c>
      <c r="Y142" s="1271">
        <v>0</v>
      </c>
      <c r="Z142" s="1271">
        <v>0</v>
      </c>
      <c r="AA142" s="1250" t="s">
        <v>18</v>
      </c>
      <c r="AB142" s="1250">
        <v>0</v>
      </c>
      <c r="AC142" s="1250">
        <v>0</v>
      </c>
      <c r="AD142" s="1250">
        <v>0</v>
      </c>
      <c r="AE142" s="1250" t="s">
        <v>18</v>
      </c>
      <c r="AF142" s="1250">
        <v>0</v>
      </c>
      <c r="AG142" s="1250" t="s">
        <v>18</v>
      </c>
      <c r="AH142" s="1250">
        <v>0</v>
      </c>
      <c r="AI142" s="1250" t="s">
        <v>18</v>
      </c>
      <c r="AJ142" s="1250">
        <v>0</v>
      </c>
      <c r="AK142" s="1250" t="s">
        <v>18</v>
      </c>
      <c r="AL142" s="1250">
        <v>0</v>
      </c>
      <c r="AM142" s="1276">
        <v>2.13</v>
      </c>
      <c r="AN142" s="1239">
        <v>2</v>
      </c>
      <c r="AO142" s="1239">
        <v>2.5</v>
      </c>
      <c r="AP142" s="1239">
        <v>2</v>
      </c>
      <c r="AQ142" s="1239">
        <v>1.5</v>
      </c>
    </row>
    <row r="143" spans="1:43" x14ac:dyDescent="0.25">
      <c r="A143" s="1240" t="s">
        <v>1301</v>
      </c>
      <c r="B143" s="1275">
        <v>1.65</v>
      </c>
      <c r="C143" s="1240">
        <v>18</v>
      </c>
      <c r="D143" s="1275">
        <v>1.65</v>
      </c>
      <c r="E143" s="1240">
        <v>4</v>
      </c>
      <c r="F143" s="1275">
        <v>1.65</v>
      </c>
      <c r="G143" s="1240">
        <v>14</v>
      </c>
      <c r="H143" s="1275">
        <v>1.65</v>
      </c>
      <c r="I143" s="1240">
        <v>2</v>
      </c>
      <c r="J143" s="1240">
        <v>1.8</v>
      </c>
      <c r="K143" s="1240">
        <v>4</v>
      </c>
      <c r="L143" s="1240">
        <v>1.49</v>
      </c>
      <c r="M143" s="1240">
        <v>4</v>
      </c>
      <c r="N143" s="1240">
        <v>1.67</v>
      </c>
      <c r="O143" s="1239">
        <v>2</v>
      </c>
      <c r="P143" s="1240">
        <v>1.67</v>
      </c>
      <c r="Q143" s="1239">
        <v>2</v>
      </c>
      <c r="R143" s="1240">
        <v>176</v>
      </c>
      <c r="S143" s="1240">
        <v>128</v>
      </c>
      <c r="T143" s="1240">
        <v>24</v>
      </c>
      <c r="U143" s="1271">
        <v>0</v>
      </c>
      <c r="V143" s="1271">
        <v>0</v>
      </c>
      <c r="W143" s="1271">
        <v>0</v>
      </c>
      <c r="X143" s="1271">
        <v>0</v>
      </c>
      <c r="Y143" s="1271">
        <v>0</v>
      </c>
      <c r="Z143" s="1271">
        <v>0</v>
      </c>
      <c r="AA143" s="1250" t="s">
        <v>18</v>
      </c>
      <c r="AB143" s="1250">
        <v>0</v>
      </c>
      <c r="AC143" s="1250">
        <v>0</v>
      </c>
      <c r="AD143" s="1250">
        <v>0</v>
      </c>
      <c r="AE143" s="1250" t="s">
        <v>18</v>
      </c>
      <c r="AF143" s="1250">
        <v>0</v>
      </c>
      <c r="AG143" s="1250" t="s">
        <v>18</v>
      </c>
      <c r="AH143" s="1250">
        <v>0</v>
      </c>
      <c r="AI143" s="1250" t="s">
        <v>18</v>
      </c>
      <c r="AJ143" s="1250">
        <v>0</v>
      </c>
      <c r="AK143" s="1250" t="s">
        <v>18</v>
      </c>
      <c r="AL143" s="1250">
        <v>0</v>
      </c>
      <c r="AM143" s="1240">
        <v>1.67</v>
      </c>
      <c r="AN143" s="1239">
        <v>2</v>
      </c>
      <c r="AO143" s="1239">
        <v>2</v>
      </c>
      <c r="AP143" s="1239">
        <v>2</v>
      </c>
      <c r="AQ143" s="1239">
        <v>1.8</v>
      </c>
    </row>
    <row r="144" spans="1:43" x14ac:dyDescent="0.25">
      <c r="A144" s="1240" t="s">
        <v>1302</v>
      </c>
      <c r="B144" s="1275">
        <v>1.91</v>
      </c>
      <c r="C144" s="1276">
        <v>18</v>
      </c>
      <c r="D144" s="1275">
        <v>1.91</v>
      </c>
      <c r="E144" s="1276">
        <v>4</v>
      </c>
      <c r="F144" s="1275">
        <v>1.91</v>
      </c>
      <c r="G144" s="1276">
        <v>14</v>
      </c>
      <c r="H144" s="1275">
        <v>1.91</v>
      </c>
      <c r="I144" s="1276">
        <v>2</v>
      </c>
      <c r="J144" s="1240">
        <v>1.8</v>
      </c>
      <c r="K144" s="1240">
        <v>4</v>
      </c>
      <c r="L144" s="1240">
        <v>1.49</v>
      </c>
      <c r="M144" s="1240">
        <v>4</v>
      </c>
      <c r="N144" s="1240">
        <v>1.93</v>
      </c>
      <c r="O144" s="1239">
        <v>2</v>
      </c>
      <c r="P144" s="1240">
        <v>1.93</v>
      </c>
      <c r="Q144" s="1239">
        <v>2</v>
      </c>
      <c r="R144" s="1276">
        <v>176</v>
      </c>
      <c r="S144" s="1276">
        <v>128</v>
      </c>
      <c r="T144" s="1276">
        <v>24</v>
      </c>
      <c r="U144" s="1271">
        <v>0</v>
      </c>
      <c r="V144" s="1271">
        <v>0</v>
      </c>
      <c r="W144" s="1271">
        <v>0</v>
      </c>
      <c r="X144" s="1271">
        <v>0</v>
      </c>
      <c r="Y144" s="1271">
        <v>0</v>
      </c>
      <c r="Z144" s="1271">
        <v>0</v>
      </c>
      <c r="AA144" s="1250" t="s">
        <v>18</v>
      </c>
      <c r="AB144" s="1250">
        <v>0</v>
      </c>
      <c r="AC144" s="1250">
        <v>0</v>
      </c>
      <c r="AD144" s="1250">
        <v>0</v>
      </c>
      <c r="AE144" s="1250" t="s">
        <v>18</v>
      </c>
      <c r="AF144" s="1250">
        <v>0</v>
      </c>
      <c r="AG144" s="1250" t="s">
        <v>18</v>
      </c>
      <c r="AH144" s="1250">
        <v>0</v>
      </c>
      <c r="AI144" s="1250" t="s">
        <v>18</v>
      </c>
      <c r="AJ144" s="1250">
        <v>0</v>
      </c>
      <c r="AK144" s="1250" t="s">
        <v>18</v>
      </c>
      <c r="AL144" s="1250">
        <v>0</v>
      </c>
      <c r="AM144" s="1240">
        <v>1.93</v>
      </c>
      <c r="AN144" s="1239">
        <v>2</v>
      </c>
      <c r="AO144" s="1239">
        <v>2</v>
      </c>
      <c r="AP144" s="1239">
        <v>2</v>
      </c>
      <c r="AQ144" s="1239">
        <v>1.8</v>
      </c>
    </row>
    <row r="145" spans="1:43" x14ac:dyDescent="0.25">
      <c r="A145" s="1240" t="s">
        <v>1303</v>
      </c>
      <c r="B145" s="1277">
        <v>2.11</v>
      </c>
      <c r="C145" s="1276">
        <v>18</v>
      </c>
      <c r="D145" s="1277">
        <v>2.11</v>
      </c>
      <c r="E145" s="1276">
        <v>4</v>
      </c>
      <c r="F145" s="1277">
        <v>2.11</v>
      </c>
      <c r="G145" s="1276">
        <v>14</v>
      </c>
      <c r="H145" s="1277">
        <v>2.11</v>
      </c>
      <c r="I145" s="1276">
        <v>2</v>
      </c>
      <c r="J145" s="1276">
        <v>1.8</v>
      </c>
      <c r="K145" s="1240">
        <v>4</v>
      </c>
      <c r="L145" s="1276">
        <v>1.49</v>
      </c>
      <c r="M145" s="1240">
        <v>4</v>
      </c>
      <c r="N145" s="1276">
        <v>2.13</v>
      </c>
      <c r="O145" s="1239">
        <v>2</v>
      </c>
      <c r="P145" s="1276">
        <v>2.13</v>
      </c>
      <c r="Q145" s="1239">
        <v>2</v>
      </c>
      <c r="R145" s="1276">
        <v>176</v>
      </c>
      <c r="S145" s="1276">
        <v>128</v>
      </c>
      <c r="T145" s="1276">
        <v>24</v>
      </c>
      <c r="U145" s="1271">
        <v>0</v>
      </c>
      <c r="V145" s="1271">
        <v>0</v>
      </c>
      <c r="W145" s="1271">
        <v>0</v>
      </c>
      <c r="X145" s="1271">
        <v>0</v>
      </c>
      <c r="Y145" s="1271">
        <v>0</v>
      </c>
      <c r="Z145" s="1271">
        <v>0</v>
      </c>
      <c r="AA145" s="1250" t="s">
        <v>18</v>
      </c>
      <c r="AB145" s="1250">
        <v>0</v>
      </c>
      <c r="AC145" s="1250">
        <v>0</v>
      </c>
      <c r="AD145" s="1250">
        <v>0</v>
      </c>
      <c r="AE145" s="1250" t="s">
        <v>18</v>
      </c>
      <c r="AF145" s="1250">
        <v>0</v>
      </c>
      <c r="AG145" s="1250" t="s">
        <v>18</v>
      </c>
      <c r="AH145" s="1250">
        <v>0</v>
      </c>
      <c r="AI145" s="1250" t="s">
        <v>18</v>
      </c>
      <c r="AJ145" s="1250">
        <v>0</v>
      </c>
      <c r="AK145" s="1250" t="s">
        <v>18</v>
      </c>
      <c r="AL145" s="1250">
        <v>0</v>
      </c>
      <c r="AM145" s="1276">
        <v>2.13</v>
      </c>
      <c r="AN145" s="1239">
        <v>2</v>
      </c>
      <c r="AO145" s="1239">
        <v>2.5</v>
      </c>
      <c r="AP145" s="1239">
        <v>2</v>
      </c>
      <c r="AQ145" s="1239">
        <v>1.8</v>
      </c>
    </row>
    <row r="146" spans="1:43" x14ac:dyDescent="0.25">
      <c r="A146" s="1240" t="s">
        <v>1199</v>
      </c>
      <c r="B146" s="1275">
        <v>1.65</v>
      </c>
      <c r="C146" s="1240">
        <v>20</v>
      </c>
      <c r="D146" s="1275">
        <v>1.65</v>
      </c>
      <c r="E146" s="1240">
        <v>4</v>
      </c>
      <c r="F146" s="1275">
        <v>1.65</v>
      </c>
      <c r="G146" s="1240">
        <v>16</v>
      </c>
      <c r="H146" s="1275">
        <v>1.65</v>
      </c>
      <c r="I146" s="1240">
        <v>2</v>
      </c>
      <c r="J146" s="1240">
        <v>1.8</v>
      </c>
      <c r="K146" s="1240">
        <v>4</v>
      </c>
      <c r="L146" s="1240">
        <v>1.69</v>
      </c>
      <c r="M146" s="1240">
        <v>4</v>
      </c>
      <c r="N146" s="1240">
        <v>1.67</v>
      </c>
      <c r="O146" s="1239">
        <v>2</v>
      </c>
      <c r="P146" s="1240">
        <v>1.67</v>
      </c>
      <c r="Q146" s="1239">
        <v>2</v>
      </c>
      <c r="R146" s="1240">
        <v>192</v>
      </c>
      <c r="S146" s="1240">
        <v>144</v>
      </c>
      <c r="T146" s="1240">
        <v>24</v>
      </c>
      <c r="U146" s="1271">
        <v>0</v>
      </c>
      <c r="V146" s="1271">
        <v>0</v>
      </c>
      <c r="W146" s="1271">
        <v>0</v>
      </c>
      <c r="X146" s="1271">
        <v>0</v>
      </c>
      <c r="Y146" s="1271">
        <v>0</v>
      </c>
      <c r="Z146" s="1271">
        <v>0</v>
      </c>
      <c r="AA146" s="1250" t="s">
        <v>18</v>
      </c>
      <c r="AB146" s="1250">
        <v>0</v>
      </c>
      <c r="AC146" s="1250">
        <v>0</v>
      </c>
      <c r="AD146" s="1250">
        <v>0</v>
      </c>
      <c r="AE146" s="1250" t="s">
        <v>18</v>
      </c>
      <c r="AF146" s="1250">
        <v>0</v>
      </c>
      <c r="AG146" s="1250" t="s">
        <v>18</v>
      </c>
      <c r="AH146" s="1250">
        <v>0</v>
      </c>
      <c r="AI146" s="1250" t="s">
        <v>18</v>
      </c>
      <c r="AJ146" s="1250">
        <v>0</v>
      </c>
      <c r="AK146" s="1250" t="s">
        <v>18</v>
      </c>
      <c r="AL146" s="1250">
        <v>0</v>
      </c>
      <c r="AM146" s="1240">
        <v>1.67</v>
      </c>
      <c r="AN146" s="1239">
        <v>2</v>
      </c>
      <c r="AO146" s="1239">
        <v>2</v>
      </c>
      <c r="AP146" s="1239">
        <v>2</v>
      </c>
      <c r="AQ146" s="1239">
        <v>2</v>
      </c>
    </row>
    <row r="147" spans="1:43" x14ac:dyDescent="0.25">
      <c r="A147" s="1240" t="s">
        <v>1200</v>
      </c>
      <c r="B147" s="1275">
        <v>1.91</v>
      </c>
      <c r="C147" s="1276">
        <v>20</v>
      </c>
      <c r="D147" s="1275">
        <v>1.91</v>
      </c>
      <c r="E147" s="1276">
        <v>4</v>
      </c>
      <c r="F147" s="1275">
        <v>1.91</v>
      </c>
      <c r="G147" s="1276">
        <v>16</v>
      </c>
      <c r="H147" s="1275">
        <v>1.91</v>
      </c>
      <c r="I147" s="1276">
        <v>2</v>
      </c>
      <c r="J147" s="1240">
        <v>1.8</v>
      </c>
      <c r="K147" s="1240">
        <v>4</v>
      </c>
      <c r="L147" s="1240">
        <v>1.69</v>
      </c>
      <c r="M147" s="1240">
        <v>4</v>
      </c>
      <c r="N147" s="1240">
        <v>1.93</v>
      </c>
      <c r="O147" s="1239">
        <v>2</v>
      </c>
      <c r="P147" s="1240">
        <v>1.93</v>
      </c>
      <c r="Q147" s="1239">
        <v>2</v>
      </c>
      <c r="R147" s="1276">
        <v>192</v>
      </c>
      <c r="S147" s="1276">
        <v>144</v>
      </c>
      <c r="T147" s="1276">
        <v>24</v>
      </c>
      <c r="U147" s="1271">
        <v>0</v>
      </c>
      <c r="V147" s="1271">
        <v>0</v>
      </c>
      <c r="W147" s="1271">
        <v>0</v>
      </c>
      <c r="X147" s="1271">
        <v>0</v>
      </c>
      <c r="Y147" s="1271">
        <v>0</v>
      </c>
      <c r="Z147" s="1271">
        <v>0</v>
      </c>
      <c r="AA147" s="1250" t="s">
        <v>18</v>
      </c>
      <c r="AB147" s="1250">
        <v>0</v>
      </c>
      <c r="AC147" s="1250">
        <v>0</v>
      </c>
      <c r="AD147" s="1250">
        <v>0</v>
      </c>
      <c r="AE147" s="1250" t="s">
        <v>18</v>
      </c>
      <c r="AF147" s="1250">
        <v>0</v>
      </c>
      <c r="AG147" s="1250" t="s">
        <v>18</v>
      </c>
      <c r="AH147" s="1250">
        <v>0</v>
      </c>
      <c r="AI147" s="1250" t="s">
        <v>18</v>
      </c>
      <c r="AJ147" s="1250">
        <v>0</v>
      </c>
      <c r="AK147" s="1250" t="s">
        <v>18</v>
      </c>
      <c r="AL147" s="1250">
        <v>0</v>
      </c>
      <c r="AM147" s="1240">
        <v>1.93</v>
      </c>
      <c r="AN147" s="1239">
        <v>2</v>
      </c>
      <c r="AO147" s="1239">
        <v>2</v>
      </c>
      <c r="AP147" s="1239">
        <v>2</v>
      </c>
      <c r="AQ147" s="1239">
        <v>2</v>
      </c>
    </row>
    <row r="148" spans="1:43" x14ac:dyDescent="0.25">
      <c r="A148" s="1240" t="s">
        <v>1201</v>
      </c>
      <c r="B148" s="1277">
        <v>2.11</v>
      </c>
      <c r="C148" s="1276">
        <v>20</v>
      </c>
      <c r="D148" s="1277">
        <v>2.11</v>
      </c>
      <c r="E148" s="1276">
        <v>4</v>
      </c>
      <c r="F148" s="1277">
        <v>2.11</v>
      </c>
      <c r="G148" s="1276">
        <v>16</v>
      </c>
      <c r="H148" s="1277">
        <v>2.11</v>
      </c>
      <c r="I148" s="1276">
        <v>2</v>
      </c>
      <c r="J148" s="1276">
        <v>1.8</v>
      </c>
      <c r="K148" s="1240">
        <v>4</v>
      </c>
      <c r="L148" s="1276">
        <v>1.69</v>
      </c>
      <c r="M148" s="1240">
        <v>4</v>
      </c>
      <c r="N148" s="1276">
        <v>2.13</v>
      </c>
      <c r="O148" s="1239">
        <v>2</v>
      </c>
      <c r="P148" s="1276">
        <v>2.13</v>
      </c>
      <c r="Q148" s="1239">
        <v>2</v>
      </c>
      <c r="R148" s="1276">
        <v>192</v>
      </c>
      <c r="S148" s="1276">
        <v>144</v>
      </c>
      <c r="T148" s="1276">
        <v>24</v>
      </c>
      <c r="U148" s="1271">
        <v>0</v>
      </c>
      <c r="V148" s="1271">
        <v>0</v>
      </c>
      <c r="W148" s="1271">
        <v>0</v>
      </c>
      <c r="X148" s="1271">
        <v>0</v>
      </c>
      <c r="Y148" s="1271">
        <v>0</v>
      </c>
      <c r="Z148" s="1271">
        <v>0</v>
      </c>
      <c r="AA148" s="1250" t="s">
        <v>18</v>
      </c>
      <c r="AB148" s="1250">
        <v>0</v>
      </c>
      <c r="AC148" s="1250">
        <v>0</v>
      </c>
      <c r="AD148" s="1250">
        <v>0</v>
      </c>
      <c r="AE148" s="1250" t="s">
        <v>18</v>
      </c>
      <c r="AF148" s="1250">
        <v>0</v>
      </c>
      <c r="AG148" s="1250" t="s">
        <v>18</v>
      </c>
      <c r="AH148" s="1250">
        <v>0</v>
      </c>
      <c r="AI148" s="1250" t="s">
        <v>18</v>
      </c>
      <c r="AJ148" s="1250">
        <v>0</v>
      </c>
      <c r="AK148" s="1250" t="s">
        <v>18</v>
      </c>
      <c r="AL148" s="1250">
        <v>0</v>
      </c>
      <c r="AM148" s="1276">
        <v>2.13</v>
      </c>
      <c r="AN148" s="1239">
        <v>2</v>
      </c>
      <c r="AO148" s="1239">
        <v>2.5</v>
      </c>
      <c r="AP148" s="1239">
        <v>2</v>
      </c>
      <c r="AQ148" s="1239">
        <v>2</v>
      </c>
    </row>
    <row r="149" spans="1:43" x14ac:dyDescent="0.25">
      <c r="A149" s="1240" t="s">
        <v>1203</v>
      </c>
      <c r="B149" s="1277">
        <v>1.39</v>
      </c>
      <c r="C149" s="1276">
        <v>20</v>
      </c>
      <c r="D149" s="1277">
        <v>1.39</v>
      </c>
      <c r="E149" s="1276">
        <v>4</v>
      </c>
      <c r="F149" s="1277">
        <v>1.39</v>
      </c>
      <c r="G149" s="1276">
        <v>14</v>
      </c>
      <c r="H149" s="1277">
        <v>1.39</v>
      </c>
      <c r="I149" s="1276">
        <v>4</v>
      </c>
      <c r="J149" s="1276">
        <v>1.8</v>
      </c>
      <c r="K149" s="1240">
        <v>6</v>
      </c>
      <c r="L149" s="1276">
        <v>1.72</v>
      </c>
      <c r="M149" s="1240">
        <v>6</v>
      </c>
      <c r="N149" s="1276">
        <v>1.41</v>
      </c>
      <c r="O149" s="1239">
        <v>2</v>
      </c>
      <c r="P149" s="1269">
        <v>1.41</v>
      </c>
      <c r="Q149" s="1270">
        <v>2</v>
      </c>
      <c r="R149" s="1269">
        <v>288</v>
      </c>
      <c r="S149" s="1270">
        <v>216</v>
      </c>
      <c r="T149" s="1276">
        <v>36</v>
      </c>
      <c r="U149" s="1271">
        <v>0</v>
      </c>
      <c r="V149" s="1271">
        <v>0</v>
      </c>
      <c r="W149" s="1271">
        <v>0</v>
      </c>
      <c r="X149" s="1271">
        <v>0</v>
      </c>
      <c r="Y149" s="1271">
        <v>0</v>
      </c>
      <c r="Z149" s="1271">
        <v>0</v>
      </c>
      <c r="AA149" s="1239">
        <v>1.91</v>
      </c>
      <c r="AB149" s="1239">
        <v>1</v>
      </c>
      <c r="AC149" s="1239">
        <v>1.91</v>
      </c>
      <c r="AD149" s="1239">
        <v>1</v>
      </c>
      <c r="AE149" s="1278">
        <v>1.89</v>
      </c>
      <c r="AF149" s="1239">
        <v>10</v>
      </c>
      <c r="AG149" s="1278">
        <v>1.89</v>
      </c>
      <c r="AH149" s="1239">
        <v>2</v>
      </c>
      <c r="AI149" s="1278">
        <v>1.89</v>
      </c>
      <c r="AJ149" s="1239">
        <v>7</v>
      </c>
      <c r="AK149" s="1278">
        <v>1.89</v>
      </c>
      <c r="AL149" s="1239">
        <v>2</v>
      </c>
      <c r="AM149" s="1276">
        <v>1.41</v>
      </c>
      <c r="AN149" s="1239">
        <v>2</v>
      </c>
      <c r="AO149" s="1239">
        <v>2</v>
      </c>
      <c r="AP149" s="1239">
        <v>3</v>
      </c>
      <c r="AQ149" s="1239">
        <v>2</v>
      </c>
    </row>
    <row r="150" spans="1:43" x14ac:dyDescent="0.25">
      <c r="A150" s="1240" t="s">
        <v>1204</v>
      </c>
      <c r="B150" s="1277">
        <v>1.39</v>
      </c>
      <c r="C150" s="1276">
        <v>10</v>
      </c>
      <c r="D150" s="1277">
        <v>1.39</v>
      </c>
      <c r="E150" s="1276">
        <v>2</v>
      </c>
      <c r="F150" s="1277">
        <v>1.39</v>
      </c>
      <c r="G150" s="1276">
        <v>7</v>
      </c>
      <c r="H150" s="1277">
        <v>1.39</v>
      </c>
      <c r="I150" s="1276">
        <v>2</v>
      </c>
      <c r="J150" s="1276">
        <v>1.8</v>
      </c>
      <c r="K150" s="1240">
        <v>6</v>
      </c>
      <c r="L150" s="1276">
        <v>1.72</v>
      </c>
      <c r="M150" s="1240">
        <v>6</v>
      </c>
      <c r="N150" s="1276">
        <v>1.41</v>
      </c>
      <c r="O150" s="1239">
        <v>1</v>
      </c>
      <c r="P150" s="1269">
        <v>1.41</v>
      </c>
      <c r="Q150" s="1270">
        <v>1</v>
      </c>
      <c r="R150" s="1269">
        <v>288</v>
      </c>
      <c r="S150" s="1270">
        <v>216</v>
      </c>
      <c r="T150" s="1276">
        <v>36</v>
      </c>
      <c r="U150" s="1271">
        <v>0</v>
      </c>
      <c r="V150" s="1271">
        <v>0</v>
      </c>
      <c r="W150" s="1271">
        <v>0</v>
      </c>
      <c r="X150" s="1271">
        <v>0</v>
      </c>
      <c r="Y150" s="1271">
        <v>0</v>
      </c>
      <c r="Z150" s="1271">
        <v>0</v>
      </c>
      <c r="AA150" s="1239">
        <v>1.91</v>
      </c>
      <c r="AB150" s="1239">
        <v>2</v>
      </c>
      <c r="AC150" s="1239">
        <v>1.91</v>
      </c>
      <c r="AD150" s="1239">
        <v>2</v>
      </c>
      <c r="AE150" s="1278">
        <v>1.89</v>
      </c>
      <c r="AF150" s="1239">
        <v>20</v>
      </c>
      <c r="AG150" s="1278">
        <v>1.89</v>
      </c>
      <c r="AH150" s="1239">
        <v>4</v>
      </c>
      <c r="AI150" s="1278">
        <v>1.89</v>
      </c>
      <c r="AJ150" s="1239">
        <v>14</v>
      </c>
      <c r="AK150" s="1278">
        <v>1.89</v>
      </c>
      <c r="AL150" s="1239">
        <v>4</v>
      </c>
      <c r="AM150" s="1276">
        <v>1.41</v>
      </c>
      <c r="AN150" s="1239">
        <v>1</v>
      </c>
      <c r="AO150" s="1239">
        <v>2</v>
      </c>
      <c r="AP150" s="1239">
        <v>3</v>
      </c>
      <c r="AQ150" s="1239">
        <v>2</v>
      </c>
    </row>
    <row r="151" spans="1:43" x14ac:dyDescent="0.25">
      <c r="A151" s="1240" t="s">
        <v>962</v>
      </c>
      <c r="B151" s="1269" t="s">
        <v>18</v>
      </c>
      <c r="C151" s="1270">
        <v>0</v>
      </c>
      <c r="D151" s="1269" t="s">
        <v>18</v>
      </c>
      <c r="E151" s="1270">
        <v>0</v>
      </c>
      <c r="F151" s="1269" t="s">
        <v>18</v>
      </c>
      <c r="G151" s="1270">
        <v>0</v>
      </c>
      <c r="H151" s="1269" t="s">
        <v>18</v>
      </c>
      <c r="I151" s="1270">
        <v>0</v>
      </c>
      <c r="J151" s="1276">
        <v>1.8</v>
      </c>
      <c r="K151" s="1240">
        <v>6</v>
      </c>
      <c r="L151" s="1276">
        <v>1.72</v>
      </c>
      <c r="M151" s="1240">
        <v>6</v>
      </c>
      <c r="N151" s="1269">
        <v>1.91</v>
      </c>
      <c r="O151" s="1270">
        <v>3</v>
      </c>
      <c r="P151" s="1269">
        <v>1.91</v>
      </c>
      <c r="Q151" s="1270">
        <v>3</v>
      </c>
      <c r="R151" s="1269">
        <v>288</v>
      </c>
      <c r="S151" s="1270">
        <v>216</v>
      </c>
      <c r="T151" s="1276">
        <v>36</v>
      </c>
      <c r="U151" s="1271">
        <v>0</v>
      </c>
      <c r="V151" s="1271">
        <v>0</v>
      </c>
      <c r="W151" s="1271">
        <v>0</v>
      </c>
      <c r="X151" s="1271">
        <v>0</v>
      </c>
      <c r="Y151" s="1271">
        <v>0</v>
      </c>
      <c r="Z151" s="1271">
        <v>0</v>
      </c>
      <c r="AA151" s="1239">
        <v>1.91</v>
      </c>
      <c r="AB151" s="1239">
        <v>3</v>
      </c>
      <c r="AC151" s="1239">
        <v>1.91</v>
      </c>
      <c r="AD151" s="1239">
        <v>3</v>
      </c>
      <c r="AE151" s="1278">
        <v>1.89</v>
      </c>
      <c r="AF151" s="1239">
        <v>30</v>
      </c>
      <c r="AG151" s="1278">
        <v>1.89</v>
      </c>
      <c r="AH151" s="1239">
        <v>6</v>
      </c>
      <c r="AI151" s="1278">
        <v>1.89</v>
      </c>
      <c r="AJ151" s="1239">
        <v>21</v>
      </c>
      <c r="AK151" s="1278">
        <v>1.89</v>
      </c>
      <c r="AL151" s="1239">
        <v>6</v>
      </c>
      <c r="AM151" s="1269">
        <v>1.91</v>
      </c>
      <c r="AN151" s="1270">
        <v>3</v>
      </c>
      <c r="AO151" s="1270">
        <v>2</v>
      </c>
      <c r="AP151" s="1239">
        <v>3</v>
      </c>
      <c r="AQ151" s="1239">
        <v>2</v>
      </c>
    </row>
    <row r="155" spans="1:43" x14ac:dyDescent="0.25">
      <c r="A155" s="1279" t="s">
        <v>446</v>
      </c>
    </row>
    <row r="156" spans="1:43" x14ac:dyDescent="0.25">
      <c r="A156" s="1232" t="s">
        <v>18</v>
      </c>
    </row>
    <row r="157" spans="1:43" x14ac:dyDescent="0.25">
      <c r="A157" s="1232" t="s">
        <v>1304</v>
      </c>
    </row>
    <row r="158" spans="1:43" x14ac:dyDescent="0.25">
      <c r="A158" s="1232" t="s">
        <v>1305</v>
      </c>
    </row>
    <row r="159" spans="1:43" x14ac:dyDescent="0.25">
      <c r="A159" s="1232" t="s">
        <v>1306</v>
      </c>
    </row>
    <row r="162" spans="1:2" ht="18.75" x14ac:dyDescent="0.3">
      <c r="A162" s="1225" t="s">
        <v>1307</v>
      </c>
    </row>
    <row r="163" spans="1:2" ht="30" x14ac:dyDescent="0.25">
      <c r="A163" s="2542" t="s">
        <v>1181</v>
      </c>
      <c r="B163" s="1280" t="s">
        <v>1308</v>
      </c>
    </row>
    <row r="164" spans="1:2" ht="45" x14ac:dyDescent="0.25">
      <c r="A164" s="2543"/>
      <c r="B164" s="1280" t="s">
        <v>1309</v>
      </c>
    </row>
    <row r="165" spans="1:2" x14ac:dyDescent="0.25">
      <c r="A165" s="1281">
        <v>0</v>
      </c>
      <c r="B165" s="1282">
        <v>0</v>
      </c>
    </row>
    <row r="166" spans="1:2" x14ac:dyDescent="0.25">
      <c r="A166" s="1281">
        <v>0.5</v>
      </c>
      <c r="B166" s="1282">
        <v>4</v>
      </c>
    </row>
    <row r="167" spans="1:2" x14ac:dyDescent="0.25">
      <c r="A167" s="1281">
        <v>0.6</v>
      </c>
      <c r="B167" s="1282">
        <v>5</v>
      </c>
    </row>
    <row r="168" spans="1:2" x14ac:dyDescent="0.25">
      <c r="A168" s="1281">
        <v>0.7</v>
      </c>
      <c r="B168" s="1282">
        <v>5.9999999999999991</v>
      </c>
    </row>
    <row r="169" spans="1:2" x14ac:dyDescent="0.25">
      <c r="A169" s="1281">
        <v>0.8</v>
      </c>
      <c r="B169" s="1282">
        <v>7</v>
      </c>
    </row>
    <row r="170" spans="1:2" x14ac:dyDescent="0.25">
      <c r="A170" s="1281">
        <v>0.9</v>
      </c>
      <c r="B170" s="1282">
        <v>8</v>
      </c>
    </row>
    <row r="171" spans="1:2" x14ac:dyDescent="0.25">
      <c r="A171" s="1281">
        <v>1</v>
      </c>
      <c r="B171" s="1282">
        <v>9</v>
      </c>
    </row>
    <row r="172" spans="1:2" x14ac:dyDescent="0.25">
      <c r="A172" s="1281">
        <v>1.1000000000000001</v>
      </c>
      <c r="B172" s="1282">
        <v>10</v>
      </c>
    </row>
    <row r="173" spans="1:2" x14ac:dyDescent="0.25">
      <c r="A173" s="1281">
        <v>1.2</v>
      </c>
      <c r="B173" s="1282">
        <v>10.999999999999998</v>
      </c>
    </row>
    <row r="174" spans="1:2" x14ac:dyDescent="0.25">
      <c r="A174" s="1281">
        <v>1.3</v>
      </c>
      <c r="B174" s="1282">
        <v>11.999999999999998</v>
      </c>
    </row>
    <row r="175" spans="1:2" x14ac:dyDescent="0.25">
      <c r="A175" s="1281">
        <v>1.4</v>
      </c>
      <c r="B175" s="1282">
        <v>12.999999999999998</v>
      </c>
    </row>
    <row r="176" spans="1:2" x14ac:dyDescent="0.25">
      <c r="A176" s="1281">
        <v>1.5</v>
      </c>
      <c r="B176" s="1282">
        <v>13.999999999999998</v>
      </c>
    </row>
    <row r="177" spans="1:2" x14ac:dyDescent="0.25">
      <c r="A177" s="1281">
        <v>1.6</v>
      </c>
      <c r="B177" s="1282">
        <v>15</v>
      </c>
    </row>
    <row r="178" spans="1:2" x14ac:dyDescent="0.25">
      <c r="A178" s="1281">
        <v>1.7</v>
      </c>
      <c r="B178" s="1282">
        <v>15.999999999999998</v>
      </c>
    </row>
    <row r="179" spans="1:2" x14ac:dyDescent="0.25">
      <c r="A179" s="1281">
        <v>1.8</v>
      </c>
      <c r="B179" s="1282">
        <v>17</v>
      </c>
    </row>
    <row r="180" spans="1:2" x14ac:dyDescent="0.25">
      <c r="A180" s="1281">
        <v>1.9</v>
      </c>
      <c r="B180" s="1282">
        <v>17.999999999999996</v>
      </c>
    </row>
    <row r="181" spans="1:2" x14ac:dyDescent="0.25">
      <c r="A181" s="1281">
        <v>2</v>
      </c>
      <c r="B181" s="1282">
        <v>18.999999999999996</v>
      </c>
    </row>
    <row r="182" spans="1:2" x14ac:dyDescent="0.25">
      <c r="A182" s="1281">
        <v>2.1</v>
      </c>
      <c r="B182" s="1282">
        <v>20</v>
      </c>
    </row>
    <row r="183" spans="1:2" x14ac:dyDescent="0.25">
      <c r="A183" s="1281">
        <v>2.2000000000000002</v>
      </c>
      <c r="B183" s="1282">
        <v>21</v>
      </c>
    </row>
    <row r="184" spans="1:2" x14ac:dyDescent="0.25">
      <c r="A184" s="1281">
        <v>2.2999999999999998</v>
      </c>
      <c r="B184" s="1282">
        <v>21.999999999999996</v>
      </c>
    </row>
    <row r="185" spans="1:2" x14ac:dyDescent="0.25">
      <c r="A185" s="1281">
        <v>2.4</v>
      </c>
      <c r="B185" s="1282">
        <v>22.999999999999996</v>
      </c>
    </row>
    <row r="186" spans="1:2" x14ac:dyDescent="0.25">
      <c r="A186" s="1281">
        <v>2.5</v>
      </c>
      <c r="B186" s="1282">
        <v>23.999999999999996</v>
      </c>
    </row>
    <row r="187" spans="1:2" x14ac:dyDescent="0.25">
      <c r="A187" s="1281">
        <v>2.6</v>
      </c>
      <c r="B187" s="1282">
        <v>25</v>
      </c>
    </row>
    <row r="188" spans="1:2" x14ac:dyDescent="0.25">
      <c r="A188" s="1281">
        <v>2.7</v>
      </c>
      <c r="B188" s="1282">
        <v>26</v>
      </c>
    </row>
    <row r="189" spans="1:2" x14ac:dyDescent="0.25">
      <c r="A189" s="1281">
        <v>2.8</v>
      </c>
      <c r="B189" s="1282">
        <v>27</v>
      </c>
    </row>
    <row r="190" spans="1:2" x14ac:dyDescent="0.25">
      <c r="A190" s="1281">
        <v>2.9</v>
      </c>
      <c r="B190" s="1282">
        <v>28</v>
      </c>
    </row>
    <row r="191" spans="1:2" x14ac:dyDescent="0.25">
      <c r="A191" s="1281">
        <v>3</v>
      </c>
      <c r="B191" s="1282">
        <v>29</v>
      </c>
    </row>
    <row r="193" spans="1:28" x14ac:dyDescent="0.25">
      <c r="A193" s="1235">
        <v>1</v>
      </c>
      <c r="B193" s="1236">
        <v>2</v>
      </c>
      <c r="C193" s="1236">
        <v>3</v>
      </c>
      <c r="D193" s="1236">
        <v>4</v>
      </c>
      <c r="E193" s="1236">
        <v>5</v>
      </c>
      <c r="F193" s="1236">
        <v>6</v>
      </c>
      <c r="G193" s="1236">
        <v>7</v>
      </c>
      <c r="H193" s="1236">
        <v>8</v>
      </c>
      <c r="I193" s="1236">
        <v>9</v>
      </c>
      <c r="J193" s="1236">
        <v>10</v>
      </c>
      <c r="K193" s="1236">
        <v>11</v>
      </c>
      <c r="L193" s="1236">
        <v>12</v>
      </c>
      <c r="M193" s="1236">
        <v>13</v>
      </c>
      <c r="N193" s="1236">
        <v>14</v>
      </c>
      <c r="O193" s="1236">
        <v>15</v>
      </c>
      <c r="P193" s="1236">
        <v>16</v>
      </c>
      <c r="Q193" s="1236">
        <v>17</v>
      </c>
      <c r="R193" s="1236">
        <v>18</v>
      </c>
      <c r="S193" s="1236">
        <v>19</v>
      </c>
      <c r="T193" s="1236">
        <v>20</v>
      </c>
      <c r="U193" s="1236">
        <v>21</v>
      </c>
      <c r="V193" s="1236">
        <v>22</v>
      </c>
      <c r="W193" s="1236">
        <v>23</v>
      </c>
      <c r="X193" s="1236">
        <v>24</v>
      </c>
      <c r="Y193" s="1236">
        <v>25</v>
      </c>
      <c r="Z193" s="1236">
        <v>26</v>
      </c>
      <c r="AA193" s="1236">
        <v>27</v>
      </c>
    </row>
    <row r="194" spans="1:28" ht="51" x14ac:dyDescent="0.25">
      <c r="A194" s="1237" t="s">
        <v>1205</v>
      </c>
      <c r="B194" s="1238" t="s">
        <v>1310</v>
      </c>
      <c r="C194" s="1238" t="s">
        <v>1208</v>
      </c>
      <c r="D194" s="1238" t="s">
        <v>1311</v>
      </c>
      <c r="E194" s="1238" t="s">
        <v>1312</v>
      </c>
      <c r="F194" s="1238" t="s">
        <v>1078</v>
      </c>
      <c r="G194" s="1238" t="s">
        <v>1210</v>
      </c>
      <c r="H194" s="1238" t="s">
        <v>1089</v>
      </c>
      <c r="I194" s="1238" t="s">
        <v>1313</v>
      </c>
      <c r="J194" s="1238" t="s">
        <v>1086</v>
      </c>
      <c r="K194" s="1238" t="s">
        <v>1313</v>
      </c>
      <c r="L194" s="1238" t="s">
        <v>1081</v>
      </c>
      <c r="M194" s="1238" t="s">
        <v>1313</v>
      </c>
      <c r="N194" s="1238" t="s">
        <v>1082</v>
      </c>
      <c r="O194" s="1238" t="s">
        <v>1313</v>
      </c>
      <c r="P194" s="1238" t="s">
        <v>981</v>
      </c>
      <c r="Q194" s="1238" t="s">
        <v>988</v>
      </c>
      <c r="R194" s="1238" t="s">
        <v>989</v>
      </c>
      <c r="S194" s="1238" t="s">
        <v>990</v>
      </c>
    </row>
    <row r="195" spans="1:28" x14ac:dyDescent="0.25">
      <c r="A195" s="1240" t="s">
        <v>959</v>
      </c>
      <c r="B195" s="1241">
        <v>0</v>
      </c>
      <c r="C195" s="1242">
        <v>0</v>
      </c>
      <c r="D195" s="1242">
        <v>0</v>
      </c>
      <c r="E195" s="1242">
        <v>0</v>
      </c>
      <c r="F195" s="1241">
        <v>0</v>
      </c>
      <c r="G195" s="1242">
        <v>0</v>
      </c>
      <c r="H195" s="1241">
        <v>0</v>
      </c>
      <c r="I195" s="1242">
        <v>0</v>
      </c>
      <c r="J195" s="1241">
        <v>0</v>
      </c>
      <c r="K195" s="1241">
        <v>0</v>
      </c>
      <c r="L195" s="1241">
        <v>0</v>
      </c>
      <c r="M195" s="1241">
        <v>0</v>
      </c>
      <c r="N195" s="1241">
        <v>0</v>
      </c>
      <c r="O195" s="1241">
        <v>0</v>
      </c>
      <c r="P195" s="1283">
        <v>0</v>
      </c>
      <c r="Q195" s="1239">
        <v>0</v>
      </c>
      <c r="R195" s="1239">
        <v>0</v>
      </c>
      <c r="S195" s="1239">
        <v>0</v>
      </c>
    </row>
    <row r="196" spans="1:28" x14ac:dyDescent="0.25">
      <c r="A196" s="1240" t="s">
        <v>1183</v>
      </c>
      <c r="B196" s="1241">
        <v>14</v>
      </c>
      <c r="C196" s="1242">
        <v>0.85</v>
      </c>
      <c r="D196" s="1242">
        <v>0</v>
      </c>
      <c r="E196" s="1242">
        <v>0.85</v>
      </c>
      <c r="F196" s="1241">
        <v>2</v>
      </c>
      <c r="G196" s="1242">
        <v>1.5</v>
      </c>
      <c r="H196" s="1241">
        <v>2</v>
      </c>
      <c r="I196" s="1242">
        <v>0.86</v>
      </c>
      <c r="J196" s="1241">
        <v>2</v>
      </c>
      <c r="K196" s="1242">
        <v>0.86</v>
      </c>
      <c r="L196" s="1241">
        <v>3</v>
      </c>
      <c r="M196" s="1241">
        <v>1.4</v>
      </c>
      <c r="N196" s="1241">
        <v>3</v>
      </c>
      <c r="O196" s="1241">
        <v>1.4</v>
      </c>
      <c r="P196" s="1283">
        <v>50</v>
      </c>
      <c r="Q196" s="1239">
        <v>1</v>
      </c>
      <c r="R196" s="1239">
        <v>0</v>
      </c>
      <c r="S196" s="1239">
        <v>0</v>
      </c>
    </row>
    <row r="197" spans="1:28" x14ac:dyDescent="0.25">
      <c r="A197" s="1240" t="s">
        <v>1184</v>
      </c>
      <c r="B197" s="1241">
        <v>14</v>
      </c>
      <c r="C197" s="1242">
        <v>1.36</v>
      </c>
      <c r="D197" s="1242">
        <v>0</v>
      </c>
      <c r="E197" s="1242">
        <v>1.36</v>
      </c>
      <c r="F197" s="1241">
        <v>2</v>
      </c>
      <c r="G197" s="1242">
        <v>1.5</v>
      </c>
      <c r="H197" s="1241">
        <v>2</v>
      </c>
      <c r="I197" s="1242">
        <v>1.37</v>
      </c>
      <c r="J197" s="1241">
        <v>2</v>
      </c>
      <c r="K197" s="1242">
        <v>1.37</v>
      </c>
      <c r="L197" s="1241">
        <v>3</v>
      </c>
      <c r="M197" s="1241">
        <v>1.4</v>
      </c>
      <c r="N197" s="1241">
        <v>3</v>
      </c>
      <c r="O197" s="1241">
        <v>1.4</v>
      </c>
      <c r="P197" s="1283">
        <v>50</v>
      </c>
      <c r="Q197" s="1239">
        <v>1</v>
      </c>
      <c r="R197" s="1239">
        <v>0</v>
      </c>
      <c r="S197" s="1239">
        <v>0</v>
      </c>
    </row>
    <row r="198" spans="1:28" x14ac:dyDescent="0.25">
      <c r="A198" s="1240" t="s">
        <v>1185</v>
      </c>
      <c r="B198" s="1241">
        <v>16</v>
      </c>
      <c r="C198" s="1242">
        <v>0.85</v>
      </c>
      <c r="D198" s="1242">
        <v>2</v>
      </c>
      <c r="E198" s="1242">
        <v>0.85</v>
      </c>
      <c r="F198" s="1241">
        <v>2</v>
      </c>
      <c r="G198" s="1242">
        <v>1.83</v>
      </c>
      <c r="H198" s="1241">
        <v>2</v>
      </c>
      <c r="I198" s="1242">
        <v>0.86</v>
      </c>
      <c r="J198" s="1241">
        <v>2</v>
      </c>
      <c r="K198" s="1242">
        <v>0.86</v>
      </c>
      <c r="L198" s="1241">
        <v>3</v>
      </c>
      <c r="M198" s="1241">
        <v>1.73</v>
      </c>
      <c r="N198" s="1241">
        <v>3</v>
      </c>
      <c r="O198" s="1241">
        <v>1.73</v>
      </c>
      <c r="P198" s="1283">
        <v>55</v>
      </c>
      <c r="Q198" s="1239">
        <v>0</v>
      </c>
      <c r="R198" s="1239">
        <v>1</v>
      </c>
      <c r="S198" s="1239">
        <v>0</v>
      </c>
    </row>
    <row r="199" spans="1:28" x14ac:dyDescent="0.25">
      <c r="A199" s="1240" t="s">
        <v>1186</v>
      </c>
      <c r="B199" s="1241">
        <v>16</v>
      </c>
      <c r="C199" s="1242">
        <v>0.85</v>
      </c>
      <c r="D199" s="1242">
        <v>2</v>
      </c>
      <c r="E199" s="1242">
        <v>0.85</v>
      </c>
      <c r="F199" s="1241">
        <v>2</v>
      </c>
      <c r="G199" s="1242">
        <v>1.83</v>
      </c>
      <c r="H199" s="1241">
        <v>2</v>
      </c>
      <c r="I199" s="1242">
        <v>0.88</v>
      </c>
      <c r="J199" s="1241">
        <v>2</v>
      </c>
      <c r="K199" s="1242">
        <v>0.88</v>
      </c>
      <c r="L199" s="1241">
        <v>3</v>
      </c>
      <c r="M199" s="1241">
        <v>1.73</v>
      </c>
      <c r="N199" s="1241">
        <v>3</v>
      </c>
      <c r="O199" s="1241">
        <v>1.73</v>
      </c>
      <c r="P199" s="1283">
        <v>55</v>
      </c>
      <c r="Q199" s="1239">
        <v>0</v>
      </c>
      <c r="R199" s="1239">
        <v>0</v>
      </c>
      <c r="S199" s="1239">
        <v>0</v>
      </c>
    </row>
    <row r="200" spans="1:28" x14ac:dyDescent="0.25">
      <c r="A200" s="1240" t="s">
        <v>1187</v>
      </c>
      <c r="B200" s="1241">
        <v>16</v>
      </c>
      <c r="C200" s="1242">
        <v>1.36</v>
      </c>
      <c r="D200" s="1242">
        <v>2</v>
      </c>
      <c r="E200" s="1242">
        <v>1.36</v>
      </c>
      <c r="F200" s="1241">
        <v>2</v>
      </c>
      <c r="G200" s="1242">
        <v>1.83</v>
      </c>
      <c r="H200" s="1241">
        <v>2</v>
      </c>
      <c r="I200" s="1242">
        <v>1.37</v>
      </c>
      <c r="J200" s="1241">
        <v>2</v>
      </c>
      <c r="K200" s="1242">
        <v>1.37</v>
      </c>
      <c r="L200" s="1241">
        <v>3</v>
      </c>
      <c r="M200" s="1241">
        <v>1.73</v>
      </c>
      <c r="N200" s="1241">
        <v>3</v>
      </c>
      <c r="O200" s="1241">
        <v>1.73</v>
      </c>
      <c r="P200" s="1283">
        <v>55</v>
      </c>
      <c r="Q200" s="1239">
        <v>0</v>
      </c>
      <c r="R200" s="1239">
        <v>1</v>
      </c>
      <c r="S200" s="1239">
        <v>0</v>
      </c>
    </row>
    <row r="201" spans="1:28" x14ac:dyDescent="0.25">
      <c r="A201" s="1240" t="s">
        <v>1188</v>
      </c>
      <c r="B201" s="1241">
        <v>21</v>
      </c>
      <c r="C201" s="1242">
        <v>0.85</v>
      </c>
      <c r="D201" s="1242">
        <v>2</v>
      </c>
      <c r="E201" s="1242">
        <v>0.85</v>
      </c>
      <c r="F201" s="1241">
        <v>2</v>
      </c>
      <c r="G201" s="1242">
        <v>2.33</v>
      </c>
      <c r="H201" s="1241">
        <v>2</v>
      </c>
      <c r="I201" s="1242">
        <v>0.86</v>
      </c>
      <c r="J201" s="1241">
        <v>2</v>
      </c>
      <c r="K201" s="1242">
        <v>0.86</v>
      </c>
      <c r="L201" s="1241">
        <v>3</v>
      </c>
      <c r="M201" s="1241">
        <v>2.23</v>
      </c>
      <c r="N201" s="1241">
        <v>3</v>
      </c>
      <c r="O201" s="1241">
        <v>2.23</v>
      </c>
      <c r="P201" s="1283">
        <v>60</v>
      </c>
      <c r="Q201" s="1239">
        <v>0</v>
      </c>
      <c r="R201" s="1239">
        <v>0</v>
      </c>
      <c r="S201" s="1239">
        <v>1</v>
      </c>
    </row>
    <row r="202" spans="1:28" ht="51" x14ac:dyDescent="0.25">
      <c r="A202" s="1244" t="s">
        <v>1219</v>
      </c>
      <c r="B202" s="1238" t="s">
        <v>1314</v>
      </c>
      <c r="C202" s="1238" t="s">
        <v>1315</v>
      </c>
      <c r="D202" s="1238" t="s">
        <v>1316</v>
      </c>
      <c r="E202" s="1238" t="s">
        <v>1317</v>
      </c>
      <c r="F202" s="1238" t="s">
        <v>1078</v>
      </c>
      <c r="G202" s="1238" t="s">
        <v>1210</v>
      </c>
      <c r="H202" s="1238" t="s">
        <v>1318</v>
      </c>
      <c r="I202" s="1238" t="s">
        <v>1319</v>
      </c>
      <c r="J202" s="1238" t="s">
        <v>1320</v>
      </c>
      <c r="K202" s="1238" t="s">
        <v>1319</v>
      </c>
      <c r="L202" s="1238" t="s">
        <v>1081</v>
      </c>
      <c r="M202" s="1238" t="s">
        <v>1313</v>
      </c>
      <c r="N202" s="1238" t="s">
        <v>1082</v>
      </c>
      <c r="O202" s="1238" t="s">
        <v>1313</v>
      </c>
      <c r="P202" s="1238" t="s">
        <v>981</v>
      </c>
      <c r="Q202" s="1238" t="s">
        <v>988</v>
      </c>
      <c r="R202" s="1238" t="s">
        <v>989</v>
      </c>
      <c r="S202" s="1238" t="s">
        <v>990</v>
      </c>
      <c r="T202" s="1238" t="s">
        <v>1321</v>
      </c>
      <c r="U202" s="1238" t="s">
        <v>1322</v>
      </c>
      <c r="V202" s="1238" t="s">
        <v>1323</v>
      </c>
      <c r="W202" s="1238" t="s">
        <v>1324</v>
      </c>
      <c r="X202" s="1238" t="s">
        <v>1325</v>
      </c>
      <c r="Y202" s="1238" t="s">
        <v>1326</v>
      </c>
      <c r="Z202" s="1238" t="s">
        <v>1327</v>
      </c>
      <c r="AA202" s="1238" t="s">
        <v>1326</v>
      </c>
      <c r="AB202" s="1284" t="s">
        <v>978</v>
      </c>
    </row>
    <row r="203" spans="1:28" x14ac:dyDescent="0.25">
      <c r="A203" s="1240" t="s">
        <v>959</v>
      </c>
      <c r="B203" s="1241">
        <v>0</v>
      </c>
      <c r="C203" s="1242">
        <v>0</v>
      </c>
      <c r="D203" s="1242">
        <v>0</v>
      </c>
      <c r="E203" s="1242">
        <v>0</v>
      </c>
      <c r="F203" s="1241">
        <v>0</v>
      </c>
      <c r="G203" s="1242">
        <v>0</v>
      </c>
      <c r="H203" s="1241">
        <v>0</v>
      </c>
      <c r="I203" s="1285">
        <v>0</v>
      </c>
      <c r="J203" s="1241">
        <v>0</v>
      </c>
      <c r="K203" s="1241">
        <v>0</v>
      </c>
      <c r="L203" s="1241">
        <v>0</v>
      </c>
      <c r="M203" s="1241">
        <v>0</v>
      </c>
      <c r="N203" s="1241">
        <v>0</v>
      </c>
      <c r="O203" s="1241">
        <v>0</v>
      </c>
      <c r="P203" s="1283">
        <v>0</v>
      </c>
      <c r="Q203" s="1239">
        <v>0</v>
      </c>
      <c r="R203" s="1239">
        <v>0</v>
      </c>
      <c r="S203" s="1239">
        <v>0</v>
      </c>
      <c r="T203" s="1239"/>
      <c r="U203" s="1239"/>
      <c r="V203" s="1239"/>
      <c r="W203" s="1239"/>
      <c r="X203" s="1239"/>
      <c r="Y203" s="1239"/>
      <c r="Z203" s="1239"/>
      <c r="AA203" s="1239"/>
      <c r="AB203" s="1082">
        <v>0</v>
      </c>
    </row>
    <row r="204" spans="1:28" x14ac:dyDescent="0.25">
      <c r="A204" s="1240" t="s">
        <v>1190</v>
      </c>
      <c r="B204" s="1241">
        <v>28</v>
      </c>
      <c r="C204" s="1286">
        <v>1.66</v>
      </c>
      <c r="D204" s="1242">
        <v>0</v>
      </c>
      <c r="E204" s="1286">
        <v>1.66</v>
      </c>
      <c r="F204" s="1241">
        <v>4</v>
      </c>
      <c r="G204" s="1242">
        <v>1.5</v>
      </c>
      <c r="H204" s="1241">
        <v>4</v>
      </c>
      <c r="I204" s="1287">
        <v>1.67</v>
      </c>
      <c r="J204" s="1241">
        <v>4</v>
      </c>
      <c r="K204" s="1287">
        <v>1.67</v>
      </c>
      <c r="L204" s="1241">
        <v>8</v>
      </c>
      <c r="M204" s="1241">
        <v>1.4</v>
      </c>
      <c r="N204" s="1241">
        <v>8</v>
      </c>
      <c r="O204" s="1241">
        <v>1.4</v>
      </c>
      <c r="P204" s="1283">
        <v>100</v>
      </c>
      <c r="Q204" s="1239">
        <v>2</v>
      </c>
      <c r="R204" s="1239">
        <v>0</v>
      </c>
      <c r="S204" s="1239">
        <v>0</v>
      </c>
      <c r="T204" s="1239"/>
      <c r="U204" s="1239"/>
      <c r="V204" s="1239"/>
      <c r="W204" s="1239"/>
      <c r="X204" s="1239"/>
      <c r="Y204" s="1239"/>
      <c r="Z204" s="1239"/>
      <c r="AA204" s="1239"/>
      <c r="AB204" s="1082">
        <v>2</v>
      </c>
    </row>
    <row r="205" spans="1:28" x14ac:dyDescent="0.25">
      <c r="A205" s="1240" t="s">
        <v>1193</v>
      </c>
      <c r="B205" s="1241">
        <v>28</v>
      </c>
      <c r="C205" s="1242">
        <v>1.86</v>
      </c>
      <c r="D205" s="1242">
        <v>0</v>
      </c>
      <c r="E205" s="1242">
        <v>1.86</v>
      </c>
      <c r="F205" s="1241">
        <v>4</v>
      </c>
      <c r="G205" s="1242">
        <v>1.5</v>
      </c>
      <c r="H205" s="1241">
        <v>4</v>
      </c>
      <c r="I205" s="1288">
        <v>1.86</v>
      </c>
      <c r="J205" s="1241">
        <v>4</v>
      </c>
      <c r="K205" s="1288">
        <v>1.86</v>
      </c>
      <c r="L205" s="1241">
        <v>8</v>
      </c>
      <c r="M205" s="1241">
        <v>1.4</v>
      </c>
      <c r="N205" s="1241">
        <v>8</v>
      </c>
      <c r="O205" s="1241">
        <v>1.4</v>
      </c>
      <c r="P205" s="1283">
        <v>100</v>
      </c>
      <c r="Q205" s="1239">
        <v>2</v>
      </c>
      <c r="R205" s="1239">
        <v>0</v>
      </c>
      <c r="S205" s="1239">
        <v>0</v>
      </c>
      <c r="T205" s="1239"/>
      <c r="U205" s="1239"/>
      <c r="V205" s="1239"/>
      <c r="W205" s="1239"/>
      <c r="X205" s="1239"/>
      <c r="Y205" s="1239"/>
      <c r="Z205" s="1239"/>
      <c r="AA205" s="1239"/>
      <c r="AB205" s="1082">
        <v>2</v>
      </c>
    </row>
    <row r="206" spans="1:28" x14ac:dyDescent="0.25">
      <c r="A206" s="1240" t="s">
        <v>1194</v>
      </c>
      <c r="B206" s="1241">
        <v>32</v>
      </c>
      <c r="C206" s="1286">
        <v>1.66</v>
      </c>
      <c r="D206" s="1242">
        <v>4</v>
      </c>
      <c r="E206" s="1286">
        <v>1.66</v>
      </c>
      <c r="F206" s="1241">
        <v>4</v>
      </c>
      <c r="G206" s="1242">
        <v>1.83</v>
      </c>
      <c r="H206" s="1241">
        <v>4</v>
      </c>
      <c r="I206" s="1287">
        <v>1.67</v>
      </c>
      <c r="J206" s="1241">
        <v>4</v>
      </c>
      <c r="K206" s="1287">
        <v>1.67</v>
      </c>
      <c r="L206" s="1241">
        <v>8</v>
      </c>
      <c r="M206" s="1241">
        <v>1.73</v>
      </c>
      <c r="N206" s="1241">
        <v>8</v>
      </c>
      <c r="O206" s="1241">
        <v>1.73</v>
      </c>
      <c r="P206" s="1283">
        <v>110</v>
      </c>
      <c r="Q206" s="1239">
        <v>0</v>
      </c>
      <c r="R206" s="1239">
        <v>2</v>
      </c>
      <c r="S206" s="1239">
        <v>0</v>
      </c>
      <c r="T206" s="1239"/>
      <c r="U206" s="1239"/>
      <c r="V206" s="1239"/>
      <c r="W206" s="1239"/>
      <c r="X206" s="1239"/>
      <c r="Y206" s="1239"/>
      <c r="Z206" s="1239"/>
      <c r="AA206" s="1239"/>
      <c r="AB206" s="1082">
        <v>2</v>
      </c>
    </row>
    <row r="207" spans="1:28" x14ac:dyDescent="0.25">
      <c r="A207" s="1240" t="s">
        <v>1195</v>
      </c>
      <c r="B207" s="1241">
        <v>32</v>
      </c>
      <c r="C207" s="1242">
        <v>1.86</v>
      </c>
      <c r="D207" s="1242">
        <v>4</v>
      </c>
      <c r="E207" s="1242">
        <v>1.86</v>
      </c>
      <c r="F207" s="1241">
        <v>4</v>
      </c>
      <c r="G207" s="1242">
        <v>1.83</v>
      </c>
      <c r="H207" s="1241">
        <v>4</v>
      </c>
      <c r="I207" s="1287">
        <v>1.67</v>
      </c>
      <c r="J207" s="1241">
        <v>4</v>
      </c>
      <c r="K207" s="1287">
        <v>1.67</v>
      </c>
      <c r="L207" s="1241">
        <v>8</v>
      </c>
      <c r="M207" s="1241">
        <v>1.73</v>
      </c>
      <c r="N207" s="1241">
        <v>8</v>
      </c>
      <c r="O207" s="1241">
        <v>1.73</v>
      </c>
      <c r="P207" s="1283">
        <v>110</v>
      </c>
      <c r="Q207" s="1239">
        <v>0</v>
      </c>
      <c r="R207" s="1239">
        <v>2</v>
      </c>
      <c r="S207" s="1239">
        <v>0</v>
      </c>
      <c r="T207" s="1239"/>
      <c r="U207" s="1239"/>
      <c r="V207" s="1239"/>
      <c r="W207" s="1239"/>
      <c r="X207" s="1239"/>
      <c r="Y207" s="1239"/>
      <c r="Z207" s="1239"/>
      <c r="AA207" s="1239"/>
      <c r="AB207" s="1082">
        <v>2</v>
      </c>
    </row>
    <row r="208" spans="1:28" x14ac:dyDescent="0.25">
      <c r="A208" s="1240" t="s">
        <v>1191</v>
      </c>
      <c r="B208" s="1241">
        <v>28</v>
      </c>
      <c r="C208" s="1242">
        <v>1.85</v>
      </c>
      <c r="D208" s="1242">
        <v>0</v>
      </c>
      <c r="E208" s="1242">
        <v>1.85</v>
      </c>
      <c r="F208" s="1241">
        <v>4</v>
      </c>
      <c r="G208" s="1242">
        <v>1.5</v>
      </c>
      <c r="H208" s="1241">
        <v>4</v>
      </c>
      <c r="I208" s="1288">
        <v>1.86</v>
      </c>
      <c r="J208" s="1241">
        <v>4</v>
      </c>
      <c r="K208" s="1288">
        <v>1.86</v>
      </c>
      <c r="L208" s="1241">
        <v>8</v>
      </c>
      <c r="M208" s="1241">
        <v>1.4</v>
      </c>
      <c r="N208" s="1241">
        <v>8</v>
      </c>
      <c r="O208" s="1241">
        <v>1.4</v>
      </c>
      <c r="P208" s="1283">
        <v>100</v>
      </c>
      <c r="Q208" s="1239">
        <v>0</v>
      </c>
      <c r="R208" s="1239">
        <v>0</v>
      </c>
      <c r="S208" s="1239">
        <v>0</v>
      </c>
      <c r="T208" s="1239"/>
      <c r="U208" s="1239"/>
      <c r="V208" s="1239"/>
      <c r="W208" s="1239"/>
      <c r="X208" s="1239"/>
      <c r="Y208" s="1239"/>
      <c r="Z208" s="1239"/>
      <c r="AA208" s="1239"/>
    </row>
    <row r="209" spans="1:28" x14ac:dyDescent="0.25">
      <c r="A209" s="1240" t="s">
        <v>1192</v>
      </c>
      <c r="B209" s="1241">
        <v>32</v>
      </c>
      <c r="C209" s="1242">
        <v>1.85</v>
      </c>
      <c r="D209" s="1242">
        <v>4</v>
      </c>
      <c r="E209" s="1242">
        <v>1.85</v>
      </c>
      <c r="F209" s="1241">
        <v>4</v>
      </c>
      <c r="G209" s="1242">
        <v>1.83</v>
      </c>
      <c r="H209" s="1241">
        <v>4</v>
      </c>
      <c r="I209" s="1287">
        <v>1.67</v>
      </c>
      <c r="J209" s="1241">
        <v>4</v>
      </c>
      <c r="K209" s="1287">
        <v>1.67</v>
      </c>
      <c r="L209" s="1241">
        <v>8</v>
      </c>
      <c r="M209" s="1241">
        <v>1.73</v>
      </c>
      <c r="N209" s="1241">
        <v>8</v>
      </c>
      <c r="O209" s="1241">
        <v>1.73</v>
      </c>
      <c r="P209" s="1283">
        <v>110</v>
      </c>
      <c r="Q209" s="1239">
        <v>0</v>
      </c>
      <c r="R209" s="1239">
        <v>0</v>
      </c>
      <c r="S209" s="1239">
        <v>0</v>
      </c>
      <c r="T209" s="1239"/>
      <c r="U209" s="1239"/>
      <c r="V209" s="1239"/>
      <c r="W209" s="1239"/>
      <c r="X209" s="1239"/>
      <c r="Y209" s="1239"/>
      <c r="Z209" s="1239"/>
      <c r="AA209" s="1239"/>
    </row>
    <row r="210" spans="1:28" x14ac:dyDescent="0.25">
      <c r="A210" s="1240" t="s">
        <v>1196</v>
      </c>
      <c r="B210" s="1241">
        <v>26</v>
      </c>
      <c r="C210" s="1286">
        <v>1.66</v>
      </c>
      <c r="D210" s="1242">
        <v>0</v>
      </c>
      <c r="E210" s="1286">
        <v>1.66</v>
      </c>
      <c r="F210" s="1241">
        <v>4</v>
      </c>
      <c r="G210" s="1286">
        <v>1.39</v>
      </c>
      <c r="H210" s="1241">
        <v>4</v>
      </c>
      <c r="I210" s="1287">
        <v>1.67</v>
      </c>
      <c r="J210" s="1241">
        <v>4</v>
      </c>
      <c r="K210" s="1287">
        <v>1.67</v>
      </c>
      <c r="L210" s="1241">
        <v>8</v>
      </c>
      <c r="M210" s="1286">
        <v>1.29</v>
      </c>
      <c r="N210" s="1241">
        <v>8</v>
      </c>
      <c r="O210" s="1286">
        <v>1.29</v>
      </c>
      <c r="P210" s="1283">
        <v>100</v>
      </c>
      <c r="Q210" s="1239">
        <v>0</v>
      </c>
      <c r="R210" s="1239">
        <v>0</v>
      </c>
      <c r="S210" s="1239">
        <v>0</v>
      </c>
      <c r="T210" s="1239"/>
      <c r="U210" s="1239"/>
      <c r="V210" s="1239"/>
      <c r="W210" s="1239"/>
      <c r="X210" s="1239"/>
      <c r="Y210" s="1239"/>
      <c r="Z210" s="1239"/>
      <c r="AA210" s="1239"/>
      <c r="AB210" s="1082">
        <v>2</v>
      </c>
    </row>
    <row r="211" spans="1:28" x14ac:dyDescent="0.25">
      <c r="A211" s="1240" t="s">
        <v>1197</v>
      </c>
      <c r="B211" s="1241">
        <v>26</v>
      </c>
      <c r="C211" s="1286">
        <v>1.92</v>
      </c>
      <c r="D211" s="1242">
        <v>0</v>
      </c>
      <c r="E211" s="1286">
        <v>1.92</v>
      </c>
      <c r="F211" s="1241">
        <v>4</v>
      </c>
      <c r="G211" s="1286">
        <v>1.39</v>
      </c>
      <c r="H211" s="1241">
        <v>4</v>
      </c>
      <c r="I211" s="1287">
        <v>1.93</v>
      </c>
      <c r="J211" s="1241">
        <v>4</v>
      </c>
      <c r="K211" s="1287">
        <v>1.93</v>
      </c>
      <c r="L211" s="1241">
        <v>8</v>
      </c>
      <c r="M211" s="1286">
        <v>1.29</v>
      </c>
      <c r="N211" s="1241">
        <v>8</v>
      </c>
      <c r="O211" s="1286">
        <v>1.29</v>
      </c>
      <c r="P211" s="1283">
        <v>100</v>
      </c>
      <c r="Q211" s="1239">
        <v>0</v>
      </c>
      <c r="R211" s="1239">
        <v>0</v>
      </c>
      <c r="S211" s="1239">
        <v>0</v>
      </c>
      <c r="T211" s="1239"/>
      <c r="U211" s="1239"/>
      <c r="V211" s="1239"/>
      <c r="W211" s="1239"/>
      <c r="X211" s="1239"/>
      <c r="Y211" s="1239"/>
      <c r="Z211" s="1239"/>
      <c r="AA211" s="1239"/>
      <c r="AB211" s="1082">
        <v>2</v>
      </c>
    </row>
    <row r="212" spans="1:28" x14ac:dyDescent="0.25">
      <c r="A212" s="1240" t="s">
        <v>1198</v>
      </c>
      <c r="B212" s="1241">
        <v>26</v>
      </c>
      <c r="C212" s="1286">
        <v>2.12</v>
      </c>
      <c r="D212" s="1242">
        <v>0</v>
      </c>
      <c r="E212" s="1286">
        <v>2.12</v>
      </c>
      <c r="F212" s="1241">
        <v>4</v>
      </c>
      <c r="G212" s="1286">
        <v>1.39</v>
      </c>
      <c r="H212" s="1241">
        <v>4</v>
      </c>
      <c r="I212" s="1287">
        <v>2.13</v>
      </c>
      <c r="J212" s="1241">
        <v>4</v>
      </c>
      <c r="K212" s="1287">
        <v>2.13</v>
      </c>
      <c r="L212" s="1241">
        <v>8</v>
      </c>
      <c r="M212" s="1286">
        <v>1.29</v>
      </c>
      <c r="N212" s="1241">
        <v>8</v>
      </c>
      <c r="O212" s="1286">
        <v>1.29</v>
      </c>
      <c r="P212" s="1283">
        <v>100</v>
      </c>
      <c r="Q212" s="1239">
        <v>0</v>
      </c>
      <c r="R212" s="1239">
        <v>0</v>
      </c>
      <c r="S212" s="1239">
        <v>0</v>
      </c>
      <c r="T212" s="1239"/>
      <c r="U212" s="1239"/>
      <c r="V212" s="1239"/>
      <c r="W212" s="1239"/>
      <c r="X212" s="1239"/>
      <c r="Y212" s="1239"/>
      <c r="Z212" s="1239"/>
      <c r="AA212" s="1239"/>
      <c r="AB212" s="1082">
        <v>2</v>
      </c>
    </row>
    <row r="213" spans="1:28" x14ac:dyDescent="0.25">
      <c r="A213" s="1240" t="s">
        <v>1199</v>
      </c>
      <c r="B213" s="1241">
        <v>30</v>
      </c>
      <c r="C213" s="1286">
        <v>1.66</v>
      </c>
      <c r="D213" s="1242">
        <v>4</v>
      </c>
      <c r="E213" s="1286">
        <v>1.66</v>
      </c>
      <c r="F213" s="1241">
        <v>4</v>
      </c>
      <c r="G213" s="1286">
        <v>1.72</v>
      </c>
      <c r="H213" s="1241">
        <v>4</v>
      </c>
      <c r="I213" s="1287">
        <v>1.67</v>
      </c>
      <c r="J213" s="1241">
        <v>4</v>
      </c>
      <c r="K213" s="1287">
        <v>1.67</v>
      </c>
      <c r="L213" s="1241">
        <v>8</v>
      </c>
      <c r="M213" s="1286">
        <v>1.62</v>
      </c>
      <c r="N213" s="1241">
        <v>8</v>
      </c>
      <c r="O213" s="1286">
        <v>1.62</v>
      </c>
      <c r="P213" s="1283">
        <v>110</v>
      </c>
      <c r="Q213" s="1239">
        <v>0</v>
      </c>
      <c r="R213" s="1239">
        <v>0</v>
      </c>
      <c r="S213" s="1239">
        <v>0</v>
      </c>
      <c r="T213" s="1239"/>
      <c r="U213" s="1239"/>
      <c r="V213" s="1239"/>
      <c r="W213" s="1239"/>
      <c r="X213" s="1239"/>
      <c r="Y213" s="1239"/>
      <c r="Z213" s="1239"/>
      <c r="AA213" s="1239"/>
      <c r="AB213" s="1082">
        <v>2</v>
      </c>
    </row>
    <row r="214" spans="1:28" x14ac:dyDescent="0.25">
      <c r="A214" s="1240" t="s">
        <v>1200</v>
      </c>
      <c r="B214" s="1241">
        <v>30</v>
      </c>
      <c r="C214" s="1286">
        <v>1.92</v>
      </c>
      <c r="D214" s="1242">
        <v>4</v>
      </c>
      <c r="E214" s="1286">
        <v>1.92</v>
      </c>
      <c r="F214" s="1241">
        <v>4</v>
      </c>
      <c r="G214" s="1286">
        <v>1.72</v>
      </c>
      <c r="H214" s="1241">
        <v>4</v>
      </c>
      <c r="I214" s="1287">
        <v>1.93</v>
      </c>
      <c r="J214" s="1241">
        <v>4</v>
      </c>
      <c r="K214" s="1287">
        <v>1.93</v>
      </c>
      <c r="L214" s="1241">
        <v>8</v>
      </c>
      <c r="M214" s="1286">
        <v>1.62</v>
      </c>
      <c r="N214" s="1241">
        <v>8</v>
      </c>
      <c r="O214" s="1286">
        <v>1.62</v>
      </c>
      <c r="P214" s="1283">
        <v>110</v>
      </c>
      <c r="Q214" s="1239">
        <v>0</v>
      </c>
      <c r="R214" s="1239">
        <v>0</v>
      </c>
      <c r="S214" s="1239">
        <v>0</v>
      </c>
      <c r="T214" s="1239"/>
      <c r="U214" s="1239"/>
      <c r="V214" s="1239"/>
      <c r="W214" s="1239"/>
      <c r="X214" s="1239"/>
      <c r="Y214" s="1239"/>
      <c r="Z214" s="1239"/>
      <c r="AA214" s="1239"/>
      <c r="AB214" s="1082">
        <v>2</v>
      </c>
    </row>
    <row r="215" spans="1:28" x14ac:dyDescent="0.25">
      <c r="A215" s="1240" t="s">
        <v>1201</v>
      </c>
      <c r="B215" s="1241">
        <v>30</v>
      </c>
      <c r="C215" s="1286">
        <v>2.12</v>
      </c>
      <c r="D215" s="1242">
        <v>4</v>
      </c>
      <c r="E215" s="1286">
        <v>2.12</v>
      </c>
      <c r="F215" s="1241">
        <v>4</v>
      </c>
      <c r="G215" s="1286">
        <v>1.72</v>
      </c>
      <c r="H215" s="1241">
        <v>4</v>
      </c>
      <c r="I215" s="1287">
        <v>2.13</v>
      </c>
      <c r="J215" s="1241">
        <v>4</v>
      </c>
      <c r="K215" s="1287">
        <v>2.13</v>
      </c>
      <c r="L215" s="1241">
        <v>8</v>
      </c>
      <c r="M215" s="1286">
        <v>1.62</v>
      </c>
      <c r="N215" s="1241">
        <v>8</v>
      </c>
      <c r="O215" s="1286">
        <v>1.62</v>
      </c>
      <c r="P215" s="1283">
        <v>110</v>
      </c>
      <c r="Q215" s="1239">
        <v>0</v>
      </c>
      <c r="R215" s="1239">
        <v>0</v>
      </c>
      <c r="S215" s="1239">
        <v>0</v>
      </c>
      <c r="T215" s="1239"/>
      <c r="U215" s="1239"/>
      <c r="V215" s="1239"/>
      <c r="W215" s="1239"/>
      <c r="X215" s="1239"/>
      <c r="Y215" s="1239"/>
      <c r="Z215" s="1239"/>
      <c r="AA215" s="1239"/>
      <c r="AB215" s="1082">
        <v>2</v>
      </c>
    </row>
    <row r="216" spans="1:28" x14ac:dyDescent="0.25">
      <c r="A216" s="1240" t="s">
        <v>1203</v>
      </c>
      <c r="B216" s="1241">
        <v>32</v>
      </c>
      <c r="C216" s="1286">
        <v>1.4</v>
      </c>
      <c r="D216" s="1242">
        <v>4</v>
      </c>
      <c r="E216" s="1286">
        <v>1.4</v>
      </c>
      <c r="F216" s="1241">
        <v>6</v>
      </c>
      <c r="G216" s="1286">
        <v>1.72</v>
      </c>
      <c r="H216" s="1241">
        <v>4</v>
      </c>
      <c r="I216" s="1287">
        <v>1.41</v>
      </c>
      <c r="J216" s="1241">
        <v>4</v>
      </c>
      <c r="K216" s="1287">
        <v>1.41</v>
      </c>
      <c r="L216" s="1241">
        <v>4</v>
      </c>
      <c r="M216" s="1286">
        <v>1.62</v>
      </c>
      <c r="N216" s="1241">
        <v>4</v>
      </c>
      <c r="O216" s="1286">
        <v>1.62</v>
      </c>
      <c r="P216" s="1283">
        <v>150</v>
      </c>
      <c r="Q216" s="1239"/>
      <c r="R216" s="1239"/>
      <c r="S216" s="1239"/>
      <c r="T216" s="1239">
        <v>16</v>
      </c>
      <c r="U216" s="1239">
        <v>1.9</v>
      </c>
      <c r="V216" s="1239">
        <v>2</v>
      </c>
      <c r="W216" s="1239">
        <v>1.9</v>
      </c>
      <c r="X216" s="1239">
        <v>2</v>
      </c>
      <c r="Y216" s="1239">
        <v>1.91</v>
      </c>
      <c r="Z216" s="1239">
        <v>2</v>
      </c>
      <c r="AA216" s="1239">
        <v>1.91</v>
      </c>
      <c r="AB216" s="1082">
        <v>3</v>
      </c>
    </row>
    <row r="217" spans="1:28" x14ac:dyDescent="0.25">
      <c r="A217" s="1240" t="s">
        <v>1204</v>
      </c>
      <c r="B217" s="1241">
        <v>16</v>
      </c>
      <c r="C217" s="1286">
        <v>1.4</v>
      </c>
      <c r="D217" s="1242">
        <v>2</v>
      </c>
      <c r="E217" s="1286">
        <v>1.4</v>
      </c>
      <c r="F217" s="1241">
        <v>6</v>
      </c>
      <c r="G217" s="1286">
        <v>1.72</v>
      </c>
      <c r="H217" s="1241">
        <v>2</v>
      </c>
      <c r="I217" s="1287">
        <v>1.41</v>
      </c>
      <c r="J217" s="1241">
        <v>2</v>
      </c>
      <c r="K217" s="1287">
        <v>1.41</v>
      </c>
      <c r="L217" s="1241">
        <v>5</v>
      </c>
      <c r="M217" s="1286">
        <v>1.62</v>
      </c>
      <c r="N217" s="1241">
        <v>5</v>
      </c>
      <c r="O217" s="1286">
        <v>1.62</v>
      </c>
      <c r="P217" s="1283">
        <v>150</v>
      </c>
      <c r="Q217" s="1239"/>
      <c r="R217" s="1239"/>
      <c r="S217" s="1239"/>
      <c r="T217" s="1239">
        <v>32</v>
      </c>
      <c r="U217" s="1239">
        <v>1.9</v>
      </c>
      <c r="V217" s="1239">
        <v>4</v>
      </c>
      <c r="W217" s="1239">
        <v>1.9</v>
      </c>
      <c r="X217" s="1239">
        <v>4</v>
      </c>
      <c r="Y217" s="1239">
        <v>1.91</v>
      </c>
      <c r="Z217" s="1239">
        <v>4</v>
      </c>
      <c r="AA217" s="1239">
        <v>1.91</v>
      </c>
      <c r="AB217" s="1082">
        <v>3</v>
      </c>
    </row>
    <row r="218" spans="1:28" x14ac:dyDescent="0.25">
      <c r="A218" s="1240" t="s">
        <v>962</v>
      </c>
      <c r="B218" s="1241">
        <v>48</v>
      </c>
      <c r="C218" s="1286">
        <v>1.9</v>
      </c>
      <c r="D218" s="1242">
        <v>6</v>
      </c>
      <c r="E218" s="1286">
        <v>1.9</v>
      </c>
      <c r="F218" s="1241">
        <v>6</v>
      </c>
      <c r="G218" s="1286">
        <v>1.72</v>
      </c>
      <c r="H218" s="1241">
        <v>6</v>
      </c>
      <c r="I218" s="1287">
        <v>1.91</v>
      </c>
      <c r="J218" s="1241">
        <v>6</v>
      </c>
      <c r="K218" s="1287">
        <v>1.91</v>
      </c>
      <c r="L218" s="1241">
        <v>6</v>
      </c>
      <c r="M218" s="1286">
        <v>1.62</v>
      </c>
      <c r="N218" s="1241">
        <v>6</v>
      </c>
      <c r="O218" s="1286">
        <v>1.62</v>
      </c>
      <c r="P218" s="1283">
        <v>150</v>
      </c>
      <c r="Q218" s="1239"/>
      <c r="R218" s="1239"/>
      <c r="S218" s="1239"/>
      <c r="T218" s="1239"/>
      <c r="U218" s="1239"/>
      <c r="V218" s="1239"/>
      <c r="W218" s="1239"/>
      <c r="X218" s="1239"/>
      <c r="Y218" s="1239"/>
      <c r="Z218" s="1239"/>
      <c r="AA218" s="1239"/>
      <c r="AB218" s="1082">
        <v>3</v>
      </c>
    </row>
  </sheetData>
  <mergeCells count="29">
    <mergeCell ref="B3:C3"/>
    <mergeCell ref="M3:N3"/>
    <mergeCell ref="A77:A78"/>
    <mergeCell ref="B77:B78"/>
    <mergeCell ref="C77:C78"/>
    <mergeCell ref="D78:E78"/>
    <mergeCell ref="F78:G78"/>
    <mergeCell ref="AA132:AB132"/>
    <mergeCell ref="AC132:AD132"/>
    <mergeCell ref="A123:A124"/>
    <mergeCell ref="B123:C123"/>
    <mergeCell ref="D123:E123"/>
    <mergeCell ref="F123:G123"/>
    <mergeCell ref="H123:I123"/>
    <mergeCell ref="A132:A133"/>
    <mergeCell ref="B132:C132"/>
    <mergeCell ref="D132:E132"/>
    <mergeCell ref="F132:G132"/>
    <mergeCell ref="H132:I132"/>
    <mergeCell ref="A163:A164"/>
    <mergeCell ref="J132:K132"/>
    <mergeCell ref="L132:M132"/>
    <mergeCell ref="N132:O132"/>
    <mergeCell ref="P132:Q132"/>
    <mergeCell ref="AE132:AF132"/>
    <mergeCell ref="AG132:AH132"/>
    <mergeCell ref="AI132:AJ132"/>
    <mergeCell ref="AK132:AL132"/>
    <mergeCell ref="AM132:AO132"/>
  </mergeCells>
  <dataValidations count="3">
    <dataValidation type="list" allowBlank="1" showInputMessage="1" showErrorMessage="1" sqref="R69" xr:uid="{9E05CADC-E155-4641-B2CB-700B929D1C66}">
      <formula1>IF(W70="ламель125",$N$78:$N$92,IF(AND(W70="ламель150",W72="50мм"),$V$78:$V$89,$R$78:$R$84))</formula1>
    </dataValidation>
    <dataValidation type="list" allowBlank="1" showInputMessage="1" showErrorMessage="1" sqref="W72" xr:uid="{E136FDB3-E590-4481-AF7E-93153B7DEB15}">
      <formula1>INDIRECT($W$70)</formula1>
    </dataValidation>
    <dataValidation type="list" allowBlank="1" showInputMessage="1" showErrorMessage="1" sqref="W70" xr:uid="{AEE0C893-08DF-428D-8677-6E6A532B8144}">
      <formula1>CCCMT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C00000"/>
    <pageSetUpPr fitToPage="1"/>
  </sheetPr>
  <dimension ref="A1:AE114"/>
  <sheetViews>
    <sheetView showGridLines="0" zoomScale="55" zoomScaleNormal="55" zoomScaleSheetLayoutView="55" zoomScalePageLayoutView="25" workbookViewId="0">
      <selection activeCell="N2" sqref="N2"/>
    </sheetView>
  </sheetViews>
  <sheetFormatPr defaultRowHeight="18" x14ac:dyDescent="0.25"/>
  <cols>
    <col min="1" max="1" width="50.7109375" style="1" customWidth="1"/>
    <col min="2" max="2" width="18.7109375" style="1" customWidth="1"/>
    <col min="3" max="4" width="14.7109375" style="1" customWidth="1"/>
    <col min="5" max="5" width="17.42578125" style="1" customWidth="1"/>
    <col min="6" max="6" width="19.7109375" style="1" customWidth="1"/>
    <col min="7" max="7" width="17.42578125" style="1" customWidth="1"/>
    <col min="8" max="9" width="16.7109375" style="1" customWidth="1"/>
    <col min="10" max="12" width="16.7109375" style="1" hidden="1" customWidth="1"/>
    <col min="13" max="14" width="29.7109375" style="1" customWidth="1"/>
    <col min="15" max="15" width="34.85546875" style="1" hidden="1" customWidth="1"/>
    <col min="16" max="20" width="19.5703125" style="1" hidden="1" customWidth="1"/>
    <col min="21" max="21" width="16.85546875" style="1" hidden="1" customWidth="1"/>
    <col min="22" max="22" width="28.5703125" style="1" hidden="1" customWidth="1"/>
    <col min="23" max="23" width="17.140625" style="4" customWidth="1"/>
    <col min="24" max="24" width="9.140625" style="2"/>
    <col min="25" max="25" width="11.5703125" style="1" customWidth="1"/>
    <col min="26" max="26" width="14.5703125" style="1" customWidth="1"/>
    <col min="27" max="27" width="9.7109375" style="1" bestFit="1" customWidth="1"/>
    <col min="28" max="28" width="12" style="1" customWidth="1"/>
    <col min="29" max="29" width="11.28515625" style="1" customWidth="1"/>
    <col min="30" max="16384" width="9.140625" style="1"/>
  </cols>
  <sheetData>
    <row r="1" spans="1:29" ht="75.75" customHeight="1" x14ac:dyDescent="0.4">
      <c r="B1" s="89"/>
      <c r="C1" s="89"/>
      <c r="D1" s="89"/>
      <c r="E1" s="89"/>
      <c r="F1" s="89"/>
      <c r="G1" s="89"/>
      <c r="H1" s="89"/>
      <c r="J1" s="89"/>
      <c r="K1" s="89"/>
      <c r="L1" s="89"/>
      <c r="M1" s="92"/>
      <c r="N1" s="336"/>
      <c r="V1" s="277"/>
    </row>
    <row r="2" spans="1:29" customFormat="1" ht="33" customHeight="1" x14ac:dyDescent="0.35">
      <c r="A2" s="23"/>
      <c r="B2" s="23"/>
      <c r="C2" s="1"/>
      <c r="D2" s="1"/>
      <c r="E2" s="1312" t="s">
        <v>200</v>
      </c>
      <c r="F2" s="1312"/>
      <c r="G2" s="1312"/>
      <c r="H2" s="1312"/>
      <c r="I2" s="138"/>
      <c r="J2" s="55"/>
      <c r="K2" s="55"/>
      <c r="L2" s="55"/>
      <c r="M2" s="92" t="s">
        <v>132</v>
      </c>
      <c r="N2" s="348">
        <v>46197</v>
      </c>
      <c r="O2" s="348"/>
      <c r="W2" s="4"/>
      <c r="X2" s="2"/>
    </row>
    <row r="3" spans="1:29" customFormat="1" ht="110.1" customHeight="1" x14ac:dyDescent="0.25">
      <c r="A3" s="1584" t="s">
        <v>71</v>
      </c>
      <c r="B3" s="1586" t="s">
        <v>197</v>
      </c>
      <c r="C3" s="1586" t="s">
        <v>78</v>
      </c>
      <c r="D3" s="1587" t="s">
        <v>730</v>
      </c>
      <c r="E3" s="1606" t="s">
        <v>179</v>
      </c>
      <c r="F3" s="1587" t="s">
        <v>317</v>
      </c>
      <c r="G3" s="1587" t="s">
        <v>80</v>
      </c>
      <c r="H3" s="1599" t="s">
        <v>352</v>
      </c>
      <c r="I3" s="1600"/>
      <c r="J3" s="1586" t="s">
        <v>10</v>
      </c>
      <c r="K3" s="1586"/>
      <c r="L3" s="1586"/>
      <c r="M3" s="1601" t="s">
        <v>176</v>
      </c>
      <c r="N3" s="1602"/>
      <c r="O3" s="1597" t="s">
        <v>71</v>
      </c>
      <c r="P3" s="1598"/>
      <c r="Q3" s="224" t="s">
        <v>81</v>
      </c>
      <c r="R3" s="227" t="s">
        <v>169</v>
      </c>
      <c r="S3" s="224" t="s">
        <v>79</v>
      </c>
      <c r="T3" s="224" t="s">
        <v>12</v>
      </c>
      <c r="U3" s="224" t="s">
        <v>80</v>
      </c>
      <c r="V3" s="226" t="s">
        <v>351</v>
      </c>
      <c r="W3" s="4"/>
      <c r="X3" s="2"/>
    </row>
    <row r="4" spans="1:29" customFormat="1" ht="27" customHeight="1" x14ac:dyDescent="0.25">
      <c r="A4" s="1585"/>
      <c r="B4" s="1586"/>
      <c r="C4" s="1586"/>
      <c r="D4" s="1588"/>
      <c r="E4" s="1607"/>
      <c r="F4" s="1588"/>
      <c r="G4" s="1588"/>
      <c r="H4" s="228" t="s">
        <v>177</v>
      </c>
      <c r="I4" s="228" t="s">
        <v>178</v>
      </c>
      <c r="J4" s="1586" t="s">
        <v>361</v>
      </c>
      <c r="K4" s="1586"/>
      <c r="L4" s="224" t="s">
        <v>362</v>
      </c>
      <c r="M4" s="229" t="s">
        <v>177</v>
      </c>
      <c r="N4" s="229" t="s">
        <v>178</v>
      </c>
      <c r="O4" s="1564" t="str">
        <f>'Эл-ты панельных ограждений - 1'!B4</f>
        <v>Столб оцинкованный
с отверстиями или резьбовыми втулками 
в профиле 62х55, 90х55 и заглушкой</v>
      </c>
      <c r="P4" s="1608" t="str">
        <f>'Эл-ты панельных ограждений - 1'!C4</f>
        <v>62х55х1,4</v>
      </c>
      <c r="Q4" s="71">
        <f>'Эл-ты панельных ограждений - 1'!D4</f>
        <v>1.1000000000000001</v>
      </c>
      <c r="R4" s="126">
        <f>'Эл-ты панельных ограждений - 1'!E4</f>
        <v>0</v>
      </c>
      <c r="S4" s="99">
        <f>'Эл-ты панельных ограждений - 1'!F4</f>
        <v>2</v>
      </c>
      <c r="T4" s="115">
        <f>'Эл-ты панельных ограждений - 1'!G4</f>
        <v>2.9810000000000003</v>
      </c>
      <c r="U4" s="1603">
        <f>'Эл-ты панельных ограждений - 1'!H4</f>
        <v>96</v>
      </c>
      <c r="V4" s="76">
        <f>'Эл-ты панельных ограждений - 1'!I4</f>
        <v>817</v>
      </c>
      <c r="W4" s="4"/>
      <c r="X4" s="2"/>
    </row>
    <row r="5" spans="1:29" customFormat="1" ht="21.95" customHeight="1" x14ac:dyDescent="0.3">
      <c r="A5" s="1560" t="s">
        <v>395</v>
      </c>
      <c r="B5" s="617" t="s">
        <v>180</v>
      </c>
      <c r="C5" s="170">
        <v>2</v>
      </c>
      <c r="D5" s="171" t="s">
        <v>728</v>
      </c>
      <c r="E5" s="171" t="s">
        <v>270</v>
      </c>
      <c r="F5" s="172">
        <v>4.4000000000000004</v>
      </c>
      <c r="G5" s="173">
        <v>160</v>
      </c>
      <c r="H5" s="702">
        <f t="shared" ref="H5:H24" si="0">IF(J5&gt;0,ROUND(J5*L5*F5*BelarusV_Mzn*(1-$B$79),0),"-")</f>
        <v>1031</v>
      </c>
      <c r="I5" s="703">
        <f t="shared" ref="I5:I24" si="1">IF(K5&gt;0,ROUND(K5*L5*F5*BelarusV_Mpe*(1-$B$79),0),"-")</f>
        <v>1184</v>
      </c>
      <c r="J5" s="615">
        <v>202</v>
      </c>
      <c r="K5" s="615">
        <v>232</v>
      </c>
      <c r="L5" s="404">
        <v>1.1599999999999999</v>
      </c>
      <c r="M5" s="639">
        <f t="shared" ref="M5:M10" si="2">IF(J5&gt;0,ROUND(((H5+$V4+($V$50*C5))/2.5),0),"-")</f>
        <v>822</v>
      </c>
      <c r="N5" s="640">
        <f>IF(K5&gt;0,ROUND(((I5+$V25+($V$50*C5))/2.5),0),"-")</f>
        <v>929</v>
      </c>
      <c r="O5" s="1564">
        <f>'Эл-ты панельных ограждений - 1'!B5</f>
        <v>0</v>
      </c>
      <c r="P5" s="1608">
        <f>'Эл-ты панельных ограждений - 1'!C5</f>
        <v>0</v>
      </c>
      <c r="Q5" s="52">
        <f>'Эл-ты панельных ограждений - 1'!D5</f>
        <v>1.3</v>
      </c>
      <c r="R5" s="127">
        <f>'Эл-ты панельных ограждений - 1'!E5</f>
        <v>0</v>
      </c>
      <c r="S5" s="97">
        <f>'Эл-ты панельных ограждений - 1'!F5</f>
        <v>2</v>
      </c>
      <c r="T5" s="59">
        <f>'Эл-ты панельных ограждений - 1'!G5</f>
        <v>3.5230000000000001</v>
      </c>
      <c r="U5" s="1603">
        <f>'Эл-ты панельных ограждений - 1'!H5</f>
        <v>0</v>
      </c>
      <c r="V5" s="77">
        <f>'Эл-ты панельных ограждений - 1'!I5</f>
        <v>966</v>
      </c>
      <c r="W5" s="370"/>
      <c r="X5" s="2"/>
      <c r="Y5" s="2"/>
      <c r="Z5" s="355"/>
      <c r="AA5" s="355"/>
      <c r="AB5" s="354"/>
      <c r="AC5" s="354"/>
    </row>
    <row r="6" spans="1:29" customFormat="1" ht="21.95" customHeight="1" x14ac:dyDescent="0.3">
      <c r="A6" s="1561"/>
      <c r="B6" s="90" t="s">
        <v>181</v>
      </c>
      <c r="C6" s="170">
        <v>2</v>
      </c>
      <c r="D6" s="174" t="s">
        <v>728</v>
      </c>
      <c r="E6" s="174"/>
      <c r="F6" s="175">
        <v>5.44</v>
      </c>
      <c r="G6" s="176">
        <v>160</v>
      </c>
      <c r="H6" s="704">
        <f t="shared" si="0"/>
        <v>1275</v>
      </c>
      <c r="I6" s="705">
        <f t="shared" si="1"/>
        <v>1464</v>
      </c>
      <c r="J6" s="614">
        <f>$J$5</f>
        <v>202</v>
      </c>
      <c r="K6" s="614">
        <f>$K$5</f>
        <v>232</v>
      </c>
      <c r="L6" s="405">
        <v>1.1599999999999999</v>
      </c>
      <c r="M6" s="641">
        <f t="shared" si="2"/>
        <v>979</v>
      </c>
      <c r="N6" s="642">
        <f>IF(K6&gt;0,ROUND(((I6+$V26+($V$50*C6))/2.5),0),"-")</f>
        <v>1109</v>
      </c>
      <c r="O6" s="1564">
        <f>'Эл-ты панельных ограждений - 1'!B6</f>
        <v>0</v>
      </c>
      <c r="P6" s="1608">
        <f>'Эл-ты панельных ограждений - 1'!C6</f>
        <v>0</v>
      </c>
      <c r="Q6" s="52">
        <f>'Эл-ты панельных ограждений - 1'!D6</f>
        <v>1.5</v>
      </c>
      <c r="R6" s="127">
        <f>'Эл-ты панельных ограждений - 1'!E6</f>
        <v>0</v>
      </c>
      <c r="S6" s="97">
        <f>'Эл-ты панельных ограждений - 1'!F6</f>
        <v>2</v>
      </c>
      <c r="T6" s="59">
        <f>'Эл-ты панельных ограждений - 1'!G6</f>
        <v>4.0599999999999996</v>
      </c>
      <c r="U6" s="1603">
        <f>'Эл-ты панельных ограждений - 1'!H6</f>
        <v>0</v>
      </c>
      <c r="V6" s="77">
        <f>'Эл-ты панельных ограждений - 1'!I6</f>
        <v>1113</v>
      </c>
      <c r="W6" s="370"/>
      <c r="X6" s="2"/>
      <c r="Y6" s="355"/>
      <c r="Z6" s="355"/>
      <c r="AA6" s="352"/>
      <c r="AB6" s="354"/>
      <c r="AC6" s="354"/>
    </row>
    <row r="7" spans="1:29" customFormat="1" ht="21.95" customHeight="1" x14ac:dyDescent="0.3">
      <c r="A7" s="1561"/>
      <c r="B7" s="90" t="s">
        <v>190</v>
      </c>
      <c r="C7" s="170">
        <v>2</v>
      </c>
      <c r="D7" s="174" t="s">
        <v>728</v>
      </c>
      <c r="E7" s="174" t="s">
        <v>270</v>
      </c>
      <c r="F7" s="175">
        <v>6.49</v>
      </c>
      <c r="G7" s="176">
        <v>80</v>
      </c>
      <c r="H7" s="704">
        <f t="shared" si="0"/>
        <v>1416</v>
      </c>
      <c r="I7" s="705">
        <f>IF(K7&gt;0,ROUND(K7*L7*F7*BelarusV_Mpe*(1-$B$79),0),"-")</f>
        <v>1626</v>
      </c>
      <c r="J7" s="614">
        <f t="shared" ref="J7:J24" si="3">$J$5</f>
        <v>202</v>
      </c>
      <c r="K7" s="614">
        <f t="shared" ref="K7:K24" si="4">$K$5</f>
        <v>232</v>
      </c>
      <c r="L7" s="405">
        <v>1.08</v>
      </c>
      <c r="M7" s="641">
        <f t="shared" si="2"/>
        <v>1094</v>
      </c>
      <c r="N7" s="642">
        <f>IF(K7&gt;0,ROUND(((I7+$V28+($V$50*C7))/2.5),0),"-")</f>
        <v>1241</v>
      </c>
      <c r="O7" s="1564">
        <f>'Эл-ты панельных ограждений - 1'!B7</f>
        <v>0</v>
      </c>
      <c r="P7" s="1608">
        <f>'Эл-ты панельных ограждений - 1'!C7</f>
        <v>0</v>
      </c>
      <c r="Q7" s="52">
        <f>'Эл-ты панельных ограждений - 1'!D7</f>
        <v>1.7</v>
      </c>
      <c r="R7" s="127">
        <f>'Эл-ты панельных ограждений - 1'!E7</f>
        <v>0</v>
      </c>
      <c r="S7" s="97">
        <f>'Эл-ты панельных ограждений - 1'!F7</f>
        <v>2</v>
      </c>
      <c r="T7" s="59">
        <f>'Эл-ты панельных ограждений - 1'!G7</f>
        <v>4.5999999999999996</v>
      </c>
      <c r="U7" s="1603">
        <f>'Эл-ты панельных ограждений - 1'!H7</f>
        <v>0</v>
      </c>
      <c r="V7" s="77">
        <f>'Эл-ты панельных ограждений - 1'!I7</f>
        <v>1261</v>
      </c>
      <c r="W7" s="370"/>
      <c r="X7" s="2"/>
      <c r="Y7" s="355"/>
      <c r="Z7" s="355"/>
      <c r="AA7" s="352"/>
      <c r="AB7" s="354"/>
      <c r="AC7" s="354"/>
    </row>
    <row r="8" spans="1:29" customFormat="1" ht="21.95" customHeight="1" x14ac:dyDescent="0.3">
      <c r="A8" s="1561"/>
      <c r="B8" s="52" t="s">
        <v>182</v>
      </c>
      <c r="C8" s="170">
        <v>2</v>
      </c>
      <c r="D8" s="174" t="s">
        <v>728</v>
      </c>
      <c r="E8" s="174" t="s">
        <v>270</v>
      </c>
      <c r="F8" s="175">
        <v>7.52</v>
      </c>
      <c r="G8" s="176">
        <v>80</v>
      </c>
      <c r="H8" s="704">
        <f t="shared" si="0"/>
        <v>1641</v>
      </c>
      <c r="I8" s="705">
        <f t="shared" si="1"/>
        <v>1884</v>
      </c>
      <c r="J8" s="614">
        <f t="shared" si="3"/>
        <v>202</v>
      </c>
      <c r="K8" s="614">
        <f t="shared" si="4"/>
        <v>232</v>
      </c>
      <c r="L8" s="405">
        <v>1.08</v>
      </c>
      <c r="M8" s="641">
        <f t="shared" si="2"/>
        <v>1243</v>
      </c>
      <c r="N8" s="642">
        <f>IF(K8&gt;0,ROUND(((I8+$V29+($V$50*C8))/2.5),0),"-")</f>
        <v>1412</v>
      </c>
      <c r="O8" s="1564">
        <f>'Эл-ты панельных ограждений - 1'!B8</f>
        <v>0</v>
      </c>
      <c r="P8" s="1608">
        <f>'Эл-ты панельных ограждений - 1'!C8</f>
        <v>0</v>
      </c>
      <c r="Q8" s="52">
        <f>'Эл-ты панельных ограждений - 1'!D8</f>
        <v>1.9</v>
      </c>
      <c r="R8" s="127">
        <f>'Эл-ты панельных ограждений - 1'!E8</f>
        <v>0</v>
      </c>
      <c r="S8" s="97">
        <f>'Эл-ты панельных ограждений - 1'!F8</f>
        <v>2</v>
      </c>
      <c r="T8" s="59">
        <f>'Эл-ты панельных ограждений - 1'!G8</f>
        <v>5.149</v>
      </c>
      <c r="U8" s="1603">
        <f>'Эл-ты панельных ограждений - 1'!H8</f>
        <v>0</v>
      </c>
      <c r="V8" s="77">
        <f>'Эл-ты панельных ограждений - 1'!I8</f>
        <v>1412</v>
      </c>
      <c r="W8" s="370"/>
      <c r="X8" s="2"/>
      <c r="Y8" s="355"/>
      <c r="Z8" s="355"/>
      <c r="AA8" s="352"/>
      <c r="AB8" s="354"/>
      <c r="AC8" s="354"/>
    </row>
    <row r="9" spans="1:29" customFormat="1" ht="21.95" customHeight="1" x14ac:dyDescent="0.3">
      <c r="A9" s="1561"/>
      <c r="B9" s="52" t="s">
        <v>183</v>
      </c>
      <c r="C9" s="170">
        <v>2</v>
      </c>
      <c r="D9" s="174" t="s">
        <v>728</v>
      </c>
      <c r="E9" s="174"/>
      <c r="F9" s="175">
        <v>8.68</v>
      </c>
      <c r="G9" s="176">
        <v>80</v>
      </c>
      <c r="H9" s="704">
        <f t="shared" si="0"/>
        <v>1823</v>
      </c>
      <c r="I9" s="705">
        <f t="shared" si="1"/>
        <v>2094</v>
      </c>
      <c r="J9" s="614">
        <f t="shared" si="3"/>
        <v>202</v>
      </c>
      <c r="K9" s="614">
        <f t="shared" si="4"/>
        <v>232</v>
      </c>
      <c r="L9" s="405">
        <v>1.04</v>
      </c>
      <c r="M9" s="641">
        <f t="shared" si="2"/>
        <v>1376</v>
      </c>
      <c r="N9" s="642">
        <f>IF(K9&gt;0,ROUND(((I9+$V30+($V$50*C9))/2.5),0),"-")</f>
        <v>1565</v>
      </c>
      <c r="O9" s="1564">
        <f>'Эл-ты панельных ограждений - 1'!B9</f>
        <v>0</v>
      </c>
      <c r="P9" s="1608">
        <f>'Эл-ты панельных ограждений - 1'!C9</f>
        <v>0</v>
      </c>
      <c r="Q9" s="52">
        <f>'Эл-ты панельных ограждений - 1'!D9</f>
        <v>2</v>
      </c>
      <c r="R9" s="127">
        <f>'Эл-ты панельных ограждений - 1'!E9</f>
        <v>0</v>
      </c>
      <c r="S9" s="97">
        <f>'Эл-ты панельных ограждений - 1'!F9</f>
        <v>3</v>
      </c>
      <c r="T9" s="59">
        <f>'Эл-ты панельных ограждений - 1'!G9</f>
        <v>5.42</v>
      </c>
      <c r="U9" s="1603">
        <f>'Эл-ты панельных ограждений - 1'!H9</f>
        <v>0</v>
      </c>
      <c r="V9" s="77">
        <f>'Эл-ты панельных ограждений - 1'!I9</f>
        <v>1339</v>
      </c>
      <c r="W9" s="370"/>
      <c r="X9" s="2"/>
      <c r="Y9" s="355"/>
      <c r="Z9" s="355"/>
      <c r="AA9" s="352"/>
      <c r="AB9" s="354"/>
      <c r="AC9" s="354"/>
    </row>
    <row r="10" spans="1:29" customFormat="1" ht="21.95" customHeight="1" x14ac:dyDescent="0.3">
      <c r="A10" s="1561"/>
      <c r="B10" s="852" t="s">
        <v>191</v>
      </c>
      <c r="C10" s="853">
        <v>3</v>
      </c>
      <c r="D10" s="854" t="s">
        <v>729</v>
      </c>
      <c r="E10" s="855" t="s">
        <v>1382</v>
      </c>
      <c r="F10" s="856">
        <v>9.14</v>
      </c>
      <c r="G10" s="857">
        <v>80</v>
      </c>
      <c r="H10" s="858">
        <f t="shared" si="0"/>
        <v>1920</v>
      </c>
      <c r="I10" s="860">
        <f t="shared" si="1"/>
        <v>2205</v>
      </c>
      <c r="J10" s="614">
        <f t="shared" si="3"/>
        <v>202</v>
      </c>
      <c r="K10" s="614">
        <f t="shared" si="4"/>
        <v>232</v>
      </c>
      <c r="L10" s="405">
        <v>1.04</v>
      </c>
      <c r="M10" s="859">
        <f t="shared" si="2"/>
        <v>1427</v>
      </c>
      <c r="N10" s="643">
        <f>IF(K10&gt;0,ROUND(((I10+$V32+($V$50*C10))/2.5),0),"-")</f>
        <v>1617</v>
      </c>
      <c r="O10" s="1564"/>
      <c r="P10" s="1608"/>
      <c r="Q10" s="52"/>
      <c r="R10" s="127"/>
      <c r="S10" s="97"/>
      <c r="T10" s="59"/>
      <c r="U10" s="1603"/>
      <c r="V10" s="77"/>
      <c r="W10" s="370"/>
      <c r="X10" s="2"/>
      <c r="Y10" s="355"/>
      <c r="Z10" s="355"/>
      <c r="AA10" s="352"/>
      <c r="AB10" s="354"/>
      <c r="AC10" s="354"/>
    </row>
    <row r="11" spans="1:29" customFormat="1" ht="21.95" customHeight="1" x14ac:dyDescent="0.3">
      <c r="A11" s="1561"/>
      <c r="B11" s="52" t="s">
        <v>191</v>
      </c>
      <c r="C11" s="170">
        <v>3</v>
      </c>
      <c r="D11" s="174" t="s">
        <v>728</v>
      </c>
      <c r="E11" s="174" t="s">
        <v>272</v>
      </c>
      <c r="F11" s="175">
        <v>9.5399999999999991</v>
      </c>
      <c r="G11" s="176">
        <v>80</v>
      </c>
      <c r="H11" s="704">
        <f t="shared" si="0"/>
        <v>2004</v>
      </c>
      <c r="I11" s="705">
        <f t="shared" si="1"/>
        <v>2302</v>
      </c>
      <c r="J11" s="614">
        <f t="shared" si="3"/>
        <v>202</v>
      </c>
      <c r="K11" s="614">
        <f t="shared" si="4"/>
        <v>232</v>
      </c>
      <c r="L11" s="405">
        <v>1.04</v>
      </c>
      <c r="M11" s="641">
        <f>IF(J11&gt;0,ROUND(((H11+$V9+($V$50*C11))/2.5),0),"-")</f>
        <v>1461</v>
      </c>
      <c r="N11" s="642">
        <f>IF(K11&gt;0,ROUND(((I11+$V32+($V$50*C11))/2.5),0),"-")</f>
        <v>1656</v>
      </c>
      <c r="O11" s="1564">
        <f>'Эл-ты панельных ограждений - 1'!B10</f>
        <v>0</v>
      </c>
      <c r="P11" s="1608">
        <f>'Эл-ты панельных ограждений - 1'!C10</f>
        <v>0</v>
      </c>
      <c r="Q11" s="52">
        <f>'Эл-ты панельных ограждений - 1'!D10</f>
        <v>2.2000000000000002</v>
      </c>
      <c r="R11" s="127">
        <f>'Эл-ты панельных ограждений - 1'!E10</f>
        <v>0</v>
      </c>
      <c r="S11" s="97">
        <f>'Эл-ты панельных ограждений - 1'!F10</f>
        <v>3</v>
      </c>
      <c r="T11" s="59">
        <f>'Эл-ты панельных ограждений - 1'!G10</f>
        <v>5.98</v>
      </c>
      <c r="U11" s="1603">
        <f>'Эл-ты панельных ограждений - 1'!H10</f>
        <v>0</v>
      </c>
      <c r="V11" s="77">
        <f>'Эл-ты панельных ограждений - 1'!I10</f>
        <v>1477</v>
      </c>
      <c r="W11" s="370"/>
      <c r="X11" s="2"/>
      <c r="Y11" s="355"/>
      <c r="Z11" s="355"/>
      <c r="AA11" s="352"/>
      <c r="AB11" s="354"/>
      <c r="AC11" s="354"/>
    </row>
    <row r="12" spans="1:29" customFormat="1" ht="21.95" customHeight="1" x14ac:dyDescent="0.3">
      <c r="A12" s="1561"/>
      <c r="B12" s="852" t="s">
        <v>192</v>
      </c>
      <c r="C12" s="853">
        <v>3</v>
      </c>
      <c r="D12" s="854" t="s">
        <v>729</v>
      </c>
      <c r="E12" s="855" t="s">
        <v>1382</v>
      </c>
      <c r="F12" s="856">
        <v>10.130000000000001</v>
      </c>
      <c r="G12" s="857">
        <v>80</v>
      </c>
      <c r="H12" s="858">
        <f t="shared" si="0"/>
        <v>2128</v>
      </c>
      <c r="I12" s="860">
        <f t="shared" si="1"/>
        <v>2444</v>
      </c>
      <c r="J12" s="614">
        <f t="shared" si="3"/>
        <v>202</v>
      </c>
      <c r="K12" s="614">
        <f t="shared" si="4"/>
        <v>232</v>
      </c>
      <c r="L12" s="405">
        <v>1.04</v>
      </c>
      <c r="M12" s="859">
        <f>IF(J12&gt;0,ROUND(((H12+$V11+($V$50*C12))/2.5),0),"-")</f>
        <v>1566</v>
      </c>
      <c r="N12" s="643">
        <f>IF(K12&gt;0,ROUND(((I12+$V33+($V$50*C12))/2.5),0),"-")</f>
        <v>1776</v>
      </c>
      <c r="O12" s="1564"/>
      <c r="P12" s="1608"/>
      <c r="Q12" s="52"/>
      <c r="R12" s="127"/>
      <c r="S12" s="97"/>
      <c r="T12" s="59"/>
      <c r="U12" s="1603"/>
      <c r="V12" s="77"/>
      <c r="W12" s="370"/>
      <c r="X12" s="2"/>
      <c r="Y12" s="355"/>
      <c r="Z12" s="355"/>
      <c r="AA12" s="352"/>
      <c r="AB12" s="354"/>
      <c r="AC12" s="354"/>
    </row>
    <row r="13" spans="1:29" customFormat="1" ht="21.95" customHeight="1" x14ac:dyDescent="0.3">
      <c r="A13" s="1561"/>
      <c r="B13" s="52" t="s">
        <v>192</v>
      </c>
      <c r="C13" s="170">
        <v>3</v>
      </c>
      <c r="D13" s="174" t="s">
        <v>728</v>
      </c>
      <c r="E13" s="174" t="s">
        <v>1383</v>
      </c>
      <c r="F13" s="175">
        <v>10.59</v>
      </c>
      <c r="G13" s="176">
        <v>80</v>
      </c>
      <c r="H13" s="704">
        <f t="shared" si="0"/>
        <v>2225</v>
      </c>
      <c r="I13" s="705">
        <f t="shared" si="1"/>
        <v>2555</v>
      </c>
      <c r="J13" s="614">
        <f t="shared" si="3"/>
        <v>202</v>
      </c>
      <c r="K13" s="614">
        <f t="shared" si="4"/>
        <v>232</v>
      </c>
      <c r="L13" s="405">
        <v>1.04</v>
      </c>
      <c r="M13" s="641">
        <f>IF(J13&gt;0,ROUND(((H13+$V11+($V$50*C13))/2.5),0),"-")</f>
        <v>1604</v>
      </c>
      <c r="N13" s="642">
        <f>IF(K13&gt;0,ROUND(((I13+$V33+($V$50*C13))/2.5),0),"-")</f>
        <v>1820</v>
      </c>
      <c r="O13" s="1564">
        <f>'Эл-ты панельных ограждений - 1'!B11</f>
        <v>0</v>
      </c>
      <c r="P13" s="1608">
        <f>'Эл-ты панельных ограждений - 1'!C11</f>
        <v>0</v>
      </c>
      <c r="Q13" s="52">
        <f>'Эл-ты панельных ограждений - 1'!D11</f>
        <v>2.4</v>
      </c>
      <c r="R13" s="127">
        <f>'Эл-ты панельных ограждений - 1'!E11</f>
        <v>0</v>
      </c>
      <c r="S13" s="97">
        <f>'Эл-ты панельных ограждений - 1'!F11</f>
        <v>3</v>
      </c>
      <c r="T13" s="59">
        <f>'Эл-ты панельных ограждений - 1'!G11</f>
        <v>6.5039999999999996</v>
      </c>
      <c r="U13" s="1603">
        <f>'Эл-ты панельных ограждений - 1'!H11</f>
        <v>0</v>
      </c>
      <c r="V13" s="77">
        <f>'Эл-ты панельных ограждений - 1'!I11</f>
        <v>1606</v>
      </c>
      <c r="W13" s="370"/>
      <c r="X13" s="2"/>
      <c r="Y13" s="355"/>
      <c r="Z13" s="355"/>
      <c r="AA13" s="352"/>
      <c r="AB13" s="354"/>
      <c r="AC13" s="354"/>
    </row>
    <row r="14" spans="1:29" customFormat="1" ht="21.95" customHeight="1" x14ac:dyDescent="0.3">
      <c r="A14" s="1561"/>
      <c r="B14" s="159" t="s">
        <v>193</v>
      </c>
      <c r="C14" s="177">
        <v>3</v>
      </c>
      <c r="D14" s="178" t="s">
        <v>728</v>
      </c>
      <c r="E14" s="178" t="s">
        <v>270</v>
      </c>
      <c r="F14" s="179">
        <v>12.68</v>
      </c>
      <c r="G14" s="180">
        <v>80</v>
      </c>
      <c r="H14" s="706" t="str">
        <f t="shared" si="0"/>
        <v>-</v>
      </c>
      <c r="I14" s="861">
        <f t="shared" si="1"/>
        <v>3059</v>
      </c>
      <c r="J14" s="618">
        <v>0</v>
      </c>
      <c r="K14" s="618">
        <f t="shared" si="4"/>
        <v>232</v>
      </c>
      <c r="L14" s="406">
        <v>1.04</v>
      </c>
      <c r="M14" s="643" t="str">
        <f>IF(J14&gt;0,ROUND(((H14+$U11+($U$37*C14))/2.5),0),"-")</f>
        <v>-</v>
      </c>
      <c r="N14" s="862">
        <f>IF(K14&gt;0,ROUND(((I14+$V33+($V$50*C14))/2.5),0),"-")</f>
        <v>2022</v>
      </c>
      <c r="O14" s="1564">
        <f>'Эл-ты панельных ограждений - 1'!B12</f>
        <v>0</v>
      </c>
      <c r="P14" s="1608">
        <f>'Эл-ты панельных ограждений - 1'!C12</f>
        <v>0</v>
      </c>
      <c r="Q14" s="52">
        <f>'Эл-ты панельных ограждений - 1'!D12</f>
        <v>2.5</v>
      </c>
      <c r="R14" s="127">
        <f>'Эл-ты панельных ограждений - 1'!E12</f>
        <v>0</v>
      </c>
      <c r="S14" s="97">
        <f>'Эл-ты панельных ограждений - 1'!F12</f>
        <v>4</v>
      </c>
      <c r="T14" s="59">
        <f>'Эл-ты панельных ограждений - 1'!G12</f>
        <v>6.79</v>
      </c>
      <c r="U14" s="1603">
        <f>'Эл-ты панельных ограждений - 1'!H12</f>
        <v>0</v>
      </c>
      <c r="V14" s="77">
        <f>'Эл-ты панельных ограждений - 1'!I12</f>
        <v>1677</v>
      </c>
      <c r="W14" s="370"/>
      <c r="X14" s="2"/>
      <c r="Y14" s="355"/>
      <c r="Z14" s="355"/>
      <c r="AB14" s="354"/>
      <c r="AC14" s="354"/>
    </row>
    <row r="15" spans="1:29" customFormat="1" ht="21.95" customHeight="1" x14ac:dyDescent="0.3">
      <c r="A15" s="1561"/>
      <c r="B15" s="52" t="s">
        <v>184</v>
      </c>
      <c r="C15" s="170">
        <v>3</v>
      </c>
      <c r="D15" s="174" t="s">
        <v>728</v>
      </c>
      <c r="E15" s="174"/>
      <c r="F15" s="175">
        <v>11.632999999999999</v>
      </c>
      <c r="G15" s="176">
        <v>80</v>
      </c>
      <c r="H15" s="704">
        <f t="shared" si="0"/>
        <v>2350</v>
      </c>
      <c r="I15" s="705">
        <f t="shared" si="1"/>
        <v>2699</v>
      </c>
      <c r="J15" s="614">
        <f t="shared" si="3"/>
        <v>202</v>
      </c>
      <c r="K15" s="614">
        <f t="shared" si="4"/>
        <v>232</v>
      </c>
      <c r="L15" s="405">
        <v>1</v>
      </c>
      <c r="M15" s="641">
        <f>IF(J15&gt;0,ROUND(((H15+$V13+($V$50*C15))/2.5),0),"-")</f>
        <v>1706</v>
      </c>
      <c r="N15" s="642">
        <f>IF(K15&gt;0,ROUND(((I15+$V34+($V$50*C15))/2.5),0),"-")</f>
        <v>1937</v>
      </c>
      <c r="O15" s="319">
        <f>'Эл-ты панельных ограждений - 1'!B13</f>
        <v>0</v>
      </c>
      <c r="P15" s="1608">
        <f>'Эл-ты панельных ограждений - 1'!C13</f>
        <v>0</v>
      </c>
      <c r="Q15" s="52">
        <f>'Эл-ты панельных ограждений - 1'!D13</f>
        <v>2.5</v>
      </c>
      <c r="R15" s="127" t="str">
        <f>'Эл-ты панельных ограждений - 1'!E13</f>
        <v>№ 1</v>
      </c>
      <c r="S15" s="97">
        <f>'Эл-ты панельных ограждений - 1'!F13</f>
        <v>5</v>
      </c>
      <c r="T15" s="59">
        <f>'Эл-ты панельных ограждений - 1'!G13</f>
        <v>6.77</v>
      </c>
      <c r="U15" s="1603">
        <f>'Эл-ты панельных ограждений - 1'!H13</f>
        <v>0</v>
      </c>
      <c r="V15" s="77">
        <f>'Эл-ты панельных ограждений - 1'!I13</f>
        <v>1672</v>
      </c>
      <c r="W15" s="370"/>
      <c r="X15" s="2"/>
      <c r="Y15" s="355"/>
      <c r="Z15" s="355"/>
      <c r="AB15" s="354"/>
      <c r="AC15" s="354"/>
    </row>
    <row r="16" spans="1:29" customFormat="1" ht="21.95" customHeight="1" x14ac:dyDescent="0.3">
      <c r="A16" s="1561"/>
      <c r="B16" s="852" t="s">
        <v>194</v>
      </c>
      <c r="C16" s="853">
        <v>4</v>
      </c>
      <c r="D16" s="854" t="s">
        <v>729</v>
      </c>
      <c r="E16" s="855" t="s">
        <v>1382</v>
      </c>
      <c r="F16" s="856">
        <v>12.07</v>
      </c>
      <c r="G16" s="857">
        <v>80</v>
      </c>
      <c r="H16" s="858">
        <f t="shared" si="0"/>
        <v>2438</v>
      </c>
      <c r="I16" s="860">
        <f t="shared" si="1"/>
        <v>2800</v>
      </c>
      <c r="J16" s="614">
        <f t="shared" si="3"/>
        <v>202</v>
      </c>
      <c r="K16" s="614">
        <f t="shared" si="4"/>
        <v>232</v>
      </c>
      <c r="L16" s="405">
        <v>1</v>
      </c>
      <c r="M16" s="859">
        <f>IF(J16&gt;0,ROUND(((H16+$V15+($V$50*C16))/2.5),0),"-")</f>
        <v>1809</v>
      </c>
      <c r="N16" s="643">
        <f>IF(K16&gt;0,ROUND(((I16+$V37+($V$50*C16))/2.5),0),"-")</f>
        <v>2048</v>
      </c>
      <c r="O16" s="319"/>
      <c r="P16" s="1608"/>
      <c r="Q16" s="52"/>
      <c r="R16" s="127"/>
      <c r="S16" s="97"/>
      <c r="T16" s="59"/>
      <c r="U16" s="1603"/>
      <c r="V16" s="77"/>
      <c r="W16" s="370"/>
      <c r="X16" s="2"/>
      <c r="Y16" s="355"/>
      <c r="Z16" s="355"/>
      <c r="AB16" s="354"/>
      <c r="AC16" s="354"/>
    </row>
    <row r="17" spans="1:29" customFormat="1" ht="21.95" customHeight="1" x14ac:dyDescent="0.3">
      <c r="A17" s="1561"/>
      <c r="B17" s="52" t="s">
        <v>194</v>
      </c>
      <c r="C17" s="170">
        <v>4</v>
      </c>
      <c r="D17" s="174" t="s">
        <v>728</v>
      </c>
      <c r="E17" s="174" t="s">
        <v>1384</v>
      </c>
      <c r="F17" s="175">
        <v>12.59</v>
      </c>
      <c r="G17" s="176">
        <v>80</v>
      </c>
      <c r="H17" s="704">
        <f t="shared" si="0"/>
        <v>2543</v>
      </c>
      <c r="I17" s="705">
        <f t="shared" si="1"/>
        <v>2921</v>
      </c>
      <c r="J17" s="614">
        <f t="shared" si="3"/>
        <v>202</v>
      </c>
      <c r="K17" s="614">
        <f t="shared" si="4"/>
        <v>232</v>
      </c>
      <c r="L17" s="405">
        <v>1</v>
      </c>
      <c r="M17" s="641">
        <f>IF(J17&gt;0,ROUND(((H17+$V15+($V$50*C17))/2.5),0),"-")</f>
        <v>1851</v>
      </c>
      <c r="N17" s="642">
        <f>IF(K17&gt;0,ROUND(((I17+$V37+($V$50*C17))/2.5),0),"-")</f>
        <v>2097</v>
      </c>
      <c r="O17" s="1558" t="str">
        <f>'Эл-ты панельных ограждений - 1'!B14</f>
        <v>примечания:
№1 - поддерживается на складе в цинке</v>
      </c>
      <c r="P17" s="1608">
        <f>'Эл-ты панельных ограждений - 1'!C14</f>
        <v>0</v>
      </c>
      <c r="Q17" s="52">
        <f>'Эл-ты панельных ограждений - 1'!D14</f>
        <v>3</v>
      </c>
      <c r="R17" s="127">
        <f>'Эл-ты панельных ограждений - 1'!E14</f>
        <v>0</v>
      </c>
      <c r="S17" s="97">
        <f>'Эл-ты панельных ограждений - 1'!F14</f>
        <v>4</v>
      </c>
      <c r="T17" s="59">
        <f>'Эл-ты панельных ограждений - 1'!G14</f>
        <v>8.1199999999999992</v>
      </c>
      <c r="U17" s="1603">
        <f>'Эл-ты панельных ограждений - 1'!H14</f>
        <v>0</v>
      </c>
      <c r="V17" s="77">
        <f>'Эл-ты панельных ограждений - 1'!I14</f>
        <v>2006</v>
      </c>
      <c r="W17" s="370"/>
      <c r="X17" s="2"/>
      <c r="Y17" s="355"/>
      <c r="Z17" s="355"/>
      <c r="AB17" s="354"/>
      <c r="AC17" s="354"/>
    </row>
    <row r="18" spans="1:29" customFormat="1" ht="21.95" customHeight="1" x14ac:dyDescent="0.3">
      <c r="A18" s="1561"/>
      <c r="B18" s="159" t="s">
        <v>195</v>
      </c>
      <c r="C18" s="177">
        <v>4</v>
      </c>
      <c r="D18" s="178" t="s">
        <v>728</v>
      </c>
      <c r="E18" s="178" t="s">
        <v>270</v>
      </c>
      <c r="F18" s="179">
        <v>15.07</v>
      </c>
      <c r="G18" s="180">
        <v>80</v>
      </c>
      <c r="H18" s="706" t="str">
        <f t="shared" si="0"/>
        <v>-</v>
      </c>
      <c r="I18" s="861">
        <f t="shared" si="1"/>
        <v>3496</v>
      </c>
      <c r="J18" s="618">
        <v>0</v>
      </c>
      <c r="K18" s="618">
        <f t="shared" si="4"/>
        <v>232</v>
      </c>
      <c r="L18" s="406">
        <v>1</v>
      </c>
      <c r="M18" s="643" t="str">
        <f>IF(J18&gt;0,ROUND(((H18+$U14+($U$37*C18))/2.5),0),"-")</f>
        <v>-</v>
      </c>
      <c r="N18" s="862">
        <f>IF(K18&gt;0,ROUND(((I18+$V37+($V$50*C18))/2.5),0),"-")</f>
        <v>2327</v>
      </c>
      <c r="O18" s="1558">
        <f>'Эл-ты панельных ограждений - 1'!B15</f>
        <v>0</v>
      </c>
      <c r="P18" s="1608">
        <f>'Эл-ты панельных ограждений - 1'!C15</f>
        <v>0</v>
      </c>
      <c r="Q18" s="52">
        <f>'Эл-ты панельных ограждений - 1'!D15</f>
        <v>3</v>
      </c>
      <c r="R18" s="127" t="str">
        <f>'Эл-ты панельных ограждений - 1'!E15</f>
        <v>№ 1</v>
      </c>
      <c r="S18" s="109">
        <f>'Эл-ты панельных ограждений - 1'!F15</f>
        <v>5</v>
      </c>
      <c r="T18" s="59">
        <f>'Эл-ты панельных ограждений - 1'!G15</f>
        <v>8.1199999999999992</v>
      </c>
      <c r="U18" s="1603">
        <f>'Эл-ты панельных ограждений - 1'!H15</f>
        <v>0</v>
      </c>
      <c r="V18" s="77">
        <f>'Эл-ты панельных ограждений - 1'!I15</f>
        <v>2006</v>
      </c>
      <c r="W18" s="370"/>
      <c r="X18" s="2"/>
      <c r="Y18" s="355"/>
      <c r="Z18" s="355"/>
      <c r="AB18" s="354"/>
      <c r="AC18" s="354"/>
    </row>
    <row r="19" spans="1:29" customFormat="1" ht="21.95" customHeight="1" x14ac:dyDescent="0.3">
      <c r="A19" s="1561"/>
      <c r="B19" s="52" t="s">
        <v>185</v>
      </c>
      <c r="C19" s="170">
        <v>4</v>
      </c>
      <c r="D19" s="174" t="s">
        <v>728</v>
      </c>
      <c r="E19" s="174"/>
      <c r="F19" s="175">
        <v>13.65</v>
      </c>
      <c r="G19" s="176">
        <v>80</v>
      </c>
      <c r="H19" s="704">
        <f t="shared" si="0"/>
        <v>2757</v>
      </c>
      <c r="I19" s="705">
        <f t="shared" si="1"/>
        <v>3167</v>
      </c>
      <c r="J19" s="614">
        <f t="shared" si="3"/>
        <v>202</v>
      </c>
      <c r="K19" s="614">
        <f t="shared" si="4"/>
        <v>232</v>
      </c>
      <c r="L19" s="405">
        <v>1</v>
      </c>
      <c r="M19" s="641">
        <f>IF(J19&gt;0,ROUND(((H19+$V18+($V$50*C19))/2.5),0),"-")</f>
        <v>2070</v>
      </c>
      <c r="N19" s="642">
        <f>IF(K19&gt;0,ROUND(((I19+$V40+($V$50*C19))/2.5),0),"-")</f>
        <v>2348</v>
      </c>
      <c r="O19" s="1558">
        <f>'Эл-ты панельных ограждений - 1'!B16</f>
        <v>0</v>
      </c>
      <c r="P19" s="1608">
        <f>'Эл-ты панельных ограждений - 1'!C16</f>
        <v>0</v>
      </c>
      <c r="Q19" s="53">
        <f>'Эл-ты панельных ограждений - 1'!D16</f>
        <v>4</v>
      </c>
      <c r="R19" s="128">
        <f>'Эл-ты панельных ограждений - 1'!E16</f>
        <v>0</v>
      </c>
      <c r="S19" s="98">
        <f>'Эл-ты панельных ограждений - 1'!F16</f>
        <v>6</v>
      </c>
      <c r="T19" s="60">
        <f>'Эл-ты панельных ограждений - 1'!G16</f>
        <v>11.06</v>
      </c>
      <c r="U19" s="1603">
        <f>'Эл-ты панельных ограждений - 1'!H16</f>
        <v>0</v>
      </c>
      <c r="V19" s="78">
        <f>'Эл-ты панельных ограждений - 1'!I16</f>
        <v>2732</v>
      </c>
      <c r="W19" s="370"/>
      <c r="X19" s="2"/>
      <c r="Y19" s="355"/>
      <c r="Z19" s="355"/>
      <c r="AB19" s="354"/>
      <c r="AC19" s="354"/>
    </row>
    <row r="20" spans="1:29" customFormat="1" ht="21.95" customHeight="1" x14ac:dyDescent="0.3">
      <c r="A20" s="1561"/>
      <c r="B20" s="52" t="s">
        <v>196</v>
      </c>
      <c r="C20" s="170">
        <v>4</v>
      </c>
      <c r="D20" s="174" t="s">
        <v>728</v>
      </c>
      <c r="E20" s="174" t="s">
        <v>270</v>
      </c>
      <c r="F20" s="175">
        <v>14.69</v>
      </c>
      <c r="G20" s="176">
        <v>70</v>
      </c>
      <c r="H20" s="704">
        <f t="shared" si="0"/>
        <v>2967</v>
      </c>
      <c r="I20" s="705">
        <f t="shared" si="1"/>
        <v>3408</v>
      </c>
      <c r="J20" s="614">
        <f t="shared" si="3"/>
        <v>202</v>
      </c>
      <c r="K20" s="614">
        <f t="shared" si="4"/>
        <v>232</v>
      </c>
      <c r="L20" s="405">
        <v>1</v>
      </c>
      <c r="M20" s="641">
        <f>IF(J20&gt;0,ROUND(((H20+$V18+($V$50*C20))/2.5),0),"-")</f>
        <v>2154</v>
      </c>
      <c r="N20" s="642">
        <f>IF(K20&gt;0,ROUND(((I20+$V40+($V$50*C20))/2.5),0),"-")</f>
        <v>2444</v>
      </c>
      <c r="O20" s="1558">
        <f>'Эл-ты панельных ограждений - 1'!B17</f>
        <v>0</v>
      </c>
      <c r="P20" s="1560" t="str">
        <f>'Эл-ты панельных ограждений - 1'!C17</f>
        <v>90х55х1,6</v>
      </c>
      <c r="Q20" s="52">
        <f>'Эл-ты панельных ограждений - 1'!D17</f>
        <v>4</v>
      </c>
      <c r="R20" s="127">
        <f>'Эл-ты панельных ограждений - 1'!E17</f>
        <v>0</v>
      </c>
      <c r="S20" s="97" t="str">
        <f>'Эл-ты панельных ограждений - 1'!F17</f>
        <v>6 отверстий</v>
      </c>
      <c r="T20" s="59">
        <f>'Эл-ты панельных ограждений - 1'!G17</f>
        <v>15.53</v>
      </c>
      <c r="U20" s="1555">
        <f>'Эл-ты панельных ограждений - 1'!H17</f>
        <v>64</v>
      </c>
      <c r="V20" s="76">
        <f>'Эл-ты панельных ограждений - 1'!I17</f>
        <v>3836</v>
      </c>
      <c r="W20" s="370"/>
      <c r="X20" s="2"/>
      <c r="Y20" s="355"/>
      <c r="Z20" s="355"/>
      <c r="AB20" s="354"/>
      <c r="AC20" s="354"/>
    </row>
    <row r="21" spans="1:29" customFormat="1" ht="21.95" customHeight="1" x14ac:dyDescent="0.3">
      <c r="A21" s="1561"/>
      <c r="B21" s="52" t="s">
        <v>186</v>
      </c>
      <c r="C21" s="176">
        <v>4</v>
      </c>
      <c r="D21" s="181" t="s">
        <v>728</v>
      </c>
      <c r="E21" s="181"/>
      <c r="F21" s="175">
        <v>15.04</v>
      </c>
      <c r="G21" s="176">
        <v>60</v>
      </c>
      <c r="H21" s="704">
        <f t="shared" si="0"/>
        <v>3038</v>
      </c>
      <c r="I21" s="705">
        <f t="shared" si="1"/>
        <v>3489</v>
      </c>
      <c r="J21" s="614">
        <f t="shared" si="3"/>
        <v>202</v>
      </c>
      <c r="K21" s="614">
        <f t="shared" si="4"/>
        <v>232</v>
      </c>
      <c r="L21" s="405">
        <v>1</v>
      </c>
      <c r="M21" s="641">
        <f>IF(J21&gt;0,ROUND(((H21+$V19+($V$50*C21))/2.5),0),"-")</f>
        <v>2473</v>
      </c>
      <c r="N21" s="642">
        <f>IF(K21&gt;0,ROUND(((I21+$V41+($V$50*C21))/2.5),0),"-")</f>
        <v>2808</v>
      </c>
      <c r="O21" s="1558">
        <f>'Эл-ты панельных ограждений - 1'!B18</f>
        <v>0</v>
      </c>
      <c r="P21" s="1561">
        <f>'Эл-ты панельных ограждений - 1'!C18</f>
        <v>0</v>
      </c>
      <c r="Q21" s="130">
        <f>'Эл-ты панельных ограждений - 1'!D18</f>
        <v>4</v>
      </c>
      <c r="R21" s="129">
        <f>'Эл-ты панельных ограждений - 1'!E18</f>
        <v>0</v>
      </c>
      <c r="S21" s="109" t="str">
        <f>'Эл-ты панельных ограждений - 1'!F18</f>
        <v>6 втулок</v>
      </c>
      <c r="T21" s="117">
        <f>'Эл-ты панельных ограждений - 1'!G18</f>
        <v>15.53</v>
      </c>
      <c r="U21" s="1556">
        <f>'Эл-ты панельных ограждений - 1'!H18</f>
        <v>0</v>
      </c>
      <c r="V21" s="77">
        <f>'Эл-ты панельных ограждений - 1'!I18</f>
        <v>3914</v>
      </c>
      <c r="W21" s="370"/>
      <c r="X21" s="2"/>
      <c r="Y21" s="355"/>
      <c r="Z21" s="355"/>
      <c r="AB21" s="354"/>
      <c r="AC21" s="354"/>
    </row>
    <row r="22" spans="1:29" customFormat="1" ht="21.95" customHeight="1" x14ac:dyDescent="0.3">
      <c r="A22" s="458"/>
      <c r="B22" s="52" t="s">
        <v>187</v>
      </c>
      <c r="C22" s="176">
        <v>4</v>
      </c>
      <c r="D22" s="181" t="s">
        <v>728</v>
      </c>
      <c r="E22" s="181"/>
      <c r="F22" s="170">
        <v>16.64</v>
      </c>
      <c r="G22" s="176">
        <v>60</v>
      </c>
      <c r="H22" s="704">
        <f t="shared" si="0"/>
        <v>3496</v>
      </c>
      <c r="I22" s="705">
        <f t="shared" si="1"/>
        <v>4015</v>
      </c>
      <c r="J22" s="614">
        <f t="shared" si="3"/>
        <v>202</v>
      </c>
      <c r="K22" s="614">
        <f t="shared" si="4"/>
        <v>232</v>
      </c>
      <c r="L22" s="405">
        <v>1.04</v>
      </c>
      <c r="M22" s="641">
        <f>IF(J22&gt;0,ROUND(((H22+$V19+($V$50*C22))/2.5),0),"-")</f>
        <v>2656</v>
      </c>
      <c r="N22" s="642">
        <f>IF(K22&gt;0,ROUND(((I22+$V41+($V$50*C22))/2.5),0),"-")</f>
        <v>3018</v>
      </c>
      <c r="O22" s="1558">
        <f>'Эл-ты панельных ограждений - 1'!B19</f>
        <v>0</v>
      </c>
      <c r="P22" s="1561">
        <f>'Эл-ты панельных ограждений - 1'!C19</f>
        <v>0</v>
      </c>
      <c r="Q22" s="130">
        <f>'Эл-ты панельных ограждений - 1'!D19</f>
        <v>5</v>
      </c>
      <c r="R22" s="129">
        <f>'Эл-ты панельных ограждений - 1'!E19</f>
        <v>0</v>
      </c>
      <c r="S22" s="109" t="str">
        <f>'Эл-ты панельных ограждений - 1'!F19</f>
        <v>8 отверстий</v>
      </c>
      <c r="T22" s="117">
        <f>'Эл-ты панельных ограждений - 1'!G19</f>
        <v>19.52</v>
      </c>
      <c r="U22" s="1556" t="str">
        <f>'Эл-ты панельных ограждений - 1'!H19</f>
        <v>64*</v>
      </c>
      <c r="V22" s="77">
        <f>'Эл-ты панельных ограждений - 1'!I19</f>
        <v>4821</v>
      </c>
      <c r="W22" s="370"/>
      <c r="X22" s="2"/>
      <c r="Y22" s="355"/>
      <c r="Z22" s="355"/>
      <c r="AB22" s="354"/>
      <c r="AC22" s="354"/>
    </row>
    <row r="23" spans="1:29" customFormat="1" ht="21.95" customHeight="1" x14ac:dyDescent="0.3">
      <c r="A23" s="458"/>
      <c r="B23" s="52" t="s">
        <v>188</v>
      </c>
      <c r="C23" s="176">
        <v>4</v>
      </c>
      <c r="D23" s="181" t="s">
        <v>728</v>
      </c>
      <c r="E23" s="181"/>
      <c r="F23" s="170">
        <v>17.03</v>
      </c>
      <c r="G23" s="176">
        <v>60</v>
      </c>
      <c r="H23" s="704">
        <f t="shared" si="0"/>
        <v>3578</v>
      </c>
      <c r="I23" s="705">
        <f t="shared" si="1"/>
        <v>4109</v>
      </c>
      <c r="J23" s="614">
        <f t="shared" si="3"/>
        <v>202</v>
      </c>
      <c r="K23" s="614">
        <f t="shared" si="4"/>
        <v>232</v>
      </c>
      <c r="L23" s="405">
        <v>1.04</v>
      </c>
      <c r="M23" s="641">
        <f>IF(J23&gt;0,ROUND(((H23+$V19+($V$50*C23))/2.5),0),"-")</f>
        <v>2689</v>
      </c>
      <c r="N23" s="642">
        <f>IF(K23&gt;0,ROUND(((I23+$V41+($V$50*C23))/2.5),0),"-")</f>
        <v>3056</v>
      </c>
      <c r="O23" s="1559">
        <f>'Эл-ты панельных ограждений - 1'!B20</f>
        <v>0</v>
      </c>
      <c r="P23" s="1562">
        <f>'Эл-ты панельных ограждений - 1'!C20</f>
        <v>0</v>
      </c>
      <c r="Q23" s="53">
        <f>'Эл-ты панельных ограждений - 1'!D20</f>
        <v>5</v>
      </c>
      <c r="R23" s="128">
        <f>'Эл-ты панельных ограждений - 1'!E20</f>
        <v>0</v>
      </c>
      <c r="S23" s="98" t="str">
        <f>'Эл-ты панельных ограждений - 1'!F20</f>
        <v>8 втулок</v>
      </c>
      <c r="T23" s="60">
        <f>'Эл-ты панельных ограждений - 1'!G20</f>
        <v>19.52</v>
      </c>
      <c r="U23" s="1557">
        <f>'Эл-ты панельных ограждений - 1'!H20</f>
        <v>0</v>
      </c>
      <c r="V23" s="78">
        <f>'Эл-ты панельных ограждений - 1'!I20</f>
        <v>4919</v>
      </c>
      <c r="W23" s="370"/>
      <c r="X23" s="2"/>
      <c r="Y23" s="355"/>
      <c r="Z23" s="355"/>
      <c r="AB23" s="354"/>
      <c r="AC23" s="354"/>
    </row>
    <row r="24" spans="1:29" customFormat="1" ht="21.95" customHeight="1" x14ac:dyDescent="0.3">
      <c r="A24" s="459"/>
      <c r="B24" s="52" t="s">
        <v>189</v>
      </c>
      <c r="C24" s="176">
        <v>5</v>
      </c>
      <c r="D24" s="181" t="s">
        <v>728</v>
      </c>
      <c r="E24" s="181"/>
      <c r="F24" s="170">
        <v>18.95</v>
      </c>
      <c r="G24" s="176">
        <v>60</v>
      </c>
      <c r="H24" s="704">
        <f t="shared" si="0"/>
        <v>3981</v>
      </c>
      <c r="I24" s="705">
        <f t="shared" si="1"/>
        <v>4572</v>
      </c>
      <c r="J24" s="614">
        <f t="shared" si="3"/>
        <v>202</v>
      </c>
      <c r="K24" s="614">
        <f t="shared" si="4"/>
        <v>232</v>
      </c>
      <c r="L24" s="405">
        <v>1.04</v>
      </c>
      <c r="M24" s="641">
        <f>IF(J24&gt;0,ROUND(((H24+$V23+($V$50*C24))/2.5),0),"-")</f>
        <v>3766</v>
      </c>
      <c r="N24" s="642">
        <f>IF(K24&gt;0,ROUND(((I24+$V49+($V$50*C24))/2.5),0),"-")</f>
        <v>4276</v>
      </c>
      <c r="O24" s="1563" t="str">
        <f>'Эл-ты панельных ограждений - 1'!B21</f>
        <v>Столб оцинкованный с полимерным покрытием 
с отверстиями или резьбовыми втулками 
в профиле 62х55, 90х55 и 80х80 и заглушкой</v>
      </c>
      <c r="P24" s="1565" t="str">
        <f>'Эл-ты панельных ограждений - 1'!C21</f>
        <v>62х55х1,4</v>
      </c>
      <c r="Q24" s="54">
        <f>'Эл-ты панельных ограждений - 1'!D21</f>
        <v>1</v>
      </c>
      <c r="R24" s="125">
        <f>'Эл-ты панельных ограждений - 1'!E21</f>
        <v>0</v>
      </c>
      <c r="S24" s="96" t="str">
        <f>'Эл-ты панельных ограждений - 1'!F21</f>
        <v>-</v>
      </c>
      <c r="T24" s="58">
        <f>'Эл-ты панельных ограждений - 1'!G21</f>
        <v>2.71</v>
      </c>
      <c r="U24" s="1555">
        <f>'Эл-ты панельных ограждений - 1'!H21</f>
        <v>96</v>
      </c>
      <c r="V24" s="76">
        <f>'Эл-ты панельных ограждений - 1'!I21</f>
        <v>833</v>
      </c>
      <c r="W24" s="370"/>
      <c r="X24" s="2"/>
      <c r="Y24" s="355"/>
      <c r="Z24" s="355"/>
      <c r="AB24" s="354"/>
      <c r="AC24" s="354"/>
    </row>
    <row r="25" spans="1:29" customFormat="1" ht="21.95" customHeight="1" x14ac:dyDescent="0.3">
      <c r="A25" s="1560" t="s">
        <v>394</v>
      </c>
      <c r="B25" s="169" t="s">
        <v>180</v>
      </c>
      <c r="C25" s="182">
        <v>2</v>
      </c>
      <c r="D25" s="183" t="s">
        <v>728</v>
      </c>
      <c r="E25" s="183"/>
      <c r="F25" s="172">
        <v>7</v>
      </c>
      <c r="G25" s="173">
        <v>120</v>
      </c>
      <c r="H25" s="702">
        <f t="shared" ref="H25:H54" si="5">IF(J25&gt;0,ROUND(J25*L25*F25*BelarusV_LFzn*(1-$B$79),0),"-")</f>
        <v>1592</v>
      </c>
      <c r="I25" s="703">
        <f t="shared" ref="I25:I54" si="6">IF(K25&gt;0,ROUND(K25*L25*F25*BelarusV_LFpe*(1-$B$79),0),"-")</f>
        <v>1795</v>
      </c>
      <c r="J25" s="615">
        <v>196</v>
      </c>
      <c r="K25" s="615">
        <v>221</v>
      </c>
      <c r="L25" s="404">
        <v>1.1599999999999999</v>
      </c>
      <c r="M25" s="639">
        <f t="shared" ref="M25:M30" si="7">IF(J25&gt;0,ROUND(((H25+V4+($V$50*C25))/2.5),0),"-")</f>
        <v>1046</v>
      </c>
      <c r="N25" s="640">
        <f>IF(K25&gt;0,ROUND(((I25+V25+($V$50*C25))/2.5),0),"-")</f>
        <v>1174</v>
      </c>
      <c r="O25" s="1564">
        <f>'Эл-ты панельных ограждений - 1'!B22</f>
        <v>0</v>
      </c>
      <c r="P25" s="1566">
        <f>'Эл-ты панельных ограждений - 1'!C22</f>
        <v>0</v>
      </c>
      <c r="Q25" s="71">
        <f>'Эл-ты панельных ограждений - 1'!D22</f>
        <v>1.1000000000000001</v>
      </c>
      <c r="R25" s="126">
        <f>'Эл-ты панельных ограждений - 1'!E22</f>
        <v>0</v>
      </c>
      <c r="S25" s="99">
        <f>'Эл-ты панельных ограждений - 1'!F22</f>
        <v>2</v>
      </c>
      <c r="T25" s="115">
        <f>'Эл-ты панельных ограждений - 1'!G22</f>
        <v>2.9810000000000003</v>
      </c>
      <c r="U25" s="1556">
        <f>'Эл-ты панельных ограждений - 1'!H22</f>
        <v>0</v>
      </c>
      <c r="V25" s="77">
        <f>'Эл-ты панельных ограждений - 1'!I22</f>
        <v>933</v>
      </c>
      <c r="W25" s="370"/>
      <c r="X25" s="2"/>
      <c r="Y25" s="2"/>
      <c r="Z25" s="355"/>
      <c r="AA25" s="355"/>
      <c r="AB25" s="354"/>
      <c r="AC25" s="354"/>
    </row>
    <row r="26" spans="1:29" customFormat="1" ht="21.95" customHeight="1" x14ac:dyDescent="0.3">
      <c r="A26" s="1561"/>
      <c r="B26" s="90" t="s">
        <v>181</v>
      </c>
      <c r="C26" s="170">
        <v>2</v>
      </c>
      <c r="D26" s="174" t="s">
        <v>728</v>
      </c>
      <c r="E26" s="174"/>
      <c r="F26" s="175">
        <v>8.75</v>
      </c>
      <c r="G26" s="176">
        <v>120</v>
      </c>
      <c r="H26" s="704">
        <f t="shared" si="5"/>
        <v>1989</v>
      </c>
      <c r="I26" s="705">
        <f t="shared" si="6"/>
        <v>2243</v>
      </c>
      <c r="J26" s="614">
        <f>$J$25</f>
        <v>196</v>
      </c>
      <c r="K26" s="614">
        <f>$K$25</f>
        <v>221</v>
      </c>
      <c r="L26" s="405">
        <v>1.1599999999999999</v>
      </c>
      <c r="M26" s="641">
        <f t="shared" si="7"/>
        <v>1264</v>
      </c>
      <c r="N26" s="642">
        <f>IF(K26&gt;0,ROUND(((I26+V26+($V$50*C26))/2.5),0),"-")</f>
        <v>1421</v>
      </c>
      <c r="O26" s="1564">
        <f>'Эл-ты панельных ограждений - 1'!B23</f>
        <v>0</v>
      </c>
      <c r="P26" s="1567">
        <f>'Эл-ты панельных ограждений - 1'!C23</f>
        <v>0</v>
      </c>
      <c r="Q26" s="52">
        <f>'Эл-ты панельных ограждений - 1'!D23</f>
        <v>1.3</v>
      </c>
      <c r="R26" s="127">
        <f>'Эл-ты панельных ограждений - 1'!E23</f>
        <v>0</v>
      </c>
      <c r="S26" s="97">
        <f>'Эл-ты панельных ограждений - 1'!F23</f>
        <v>2</v>
      </c>
      <c r="T26" s="59">
        <f>'Эл-ты панельных ограждений - 1'!G23</f>
        <v>3.5230000000000001</v>
      </c>
      <c r="U26" s="1556">
        <f>'Эл-ты панельных ограждений - 1'!H23</f>
        <v>0</v>
      </c>
      <c r="V26" s="77">
        <f>'Эл-ты панельных ограждений - 1'!I23</f>
        <v>1103</v>
      </c>
      <c r="W26" s="370"/>
      <c r="X26" s="2"/>
      <c r="Y26" s="355"/>
      <c r="Z26" s="355"/>
      <c r="AB26" s="354"/>
      <c r="AC26" s="354"/>
    </row>
    <row r="27" spans="1:29" customFormat="1" ht="21.95" customHeight="1" x14ac:dyDescent="0.3">
      <c r="A27" s="1561"/>
      <c r="B27" s="90" t="s">
        <v>190</v>
      </c>
      <c r="C27" s="170">
        <v>2</v>
      </c>
      <c r="D27" s="174" t="s">
        <v>728</v>
      </c>
      <c r="E27" s="174" t="s">
        <v>270</v>
      </c>
      <c r="F27" s="175">
        <v>10.34</v>
      </c>
      <c r="G27" s="176">
        <v>60</v>
      </c>
      <c r="H27" s="704">
        <f t="shared" si="5"/>
        <v>2189</v>
      </c>
      <c r="I27" s="705">
        <f t="shared" si="6"/>
        <v>2468</v>
      </c>
      <c r="J27" s="614">
        <f t="shared" ref="J27:J39" si="8">$J$25</f>
        <v>196</v>
      </c>
      <c r="K27" s="614">
        <f t="shared" ref="K27:K39" si="9">$K$25</f>
        <v>221</v>
      </c>
      <c r="L27" s="405">
        <v>1.08</v>
      </c>
      <c r="M27" s="641">
        <f t="shared" si="7"/>
        <v>1403</v>
      </c>
      <c r="N27" s="642">
        <f>IF(K27&gt;0,ROUND(((I27+V28+($V$50*C27))/2.5),0),"-")</f>
        <v>1578</v>
      </c>
      <c r="O27" s="1564">
        <f>'Эл-ты панельных ограждений - 1'!B24</f>
        <v>0</v>
      </c>
      <c r="P27" s="1567">
        <f>'Эл-ты панельных ограждений - 1'!C24</f>
        <v>0</v>
      </c>
      <c r="Q27" s="52">
        <f>'Эл-ты панельных ограждений - 1'!D24</f>
        <v>1.5</v>
      </c>
      <c r="R27" s="127">
        <f>'Эл-ты панельных ограждений - 1'!E24</f>
        <v>0</v>
      </c>
      <c r="S27" s="97" t="str">
        <f>'Эл-ты панельных ограждений - 1'!F24</f>
        <v>-</v>
      </c>
      <c r="T27" s="59">
        <f>'Эл-ты панельных ограждений - 1'!G24</f>
        <v>4.0649999999999995</v>
      </c>
      <c r="U27" s="1556">
        <f>'Эл-ты панельных ограждений - 1'!H24</f>
        <v>0</v>
      </c>
      <c r="V27" s="77">
        <f>'Эл-ты панельных ограждений - 1'!I24</f>
        <v>1250</v>
      </c>
      <c r="W27" s="370"/>
      <c r="X27" s="2"/>
      <c r="Y27" s="355"/>
      <c r="Z27" s="355"/>
      <c r="AB27" s="354"/>
      <c r="AC27" s="354"/>
    </row>
    <row r="28" spans="1:29" customFormat="1" ht="21.95" customHeight="1" x14ac:dyDescent="0.3">
      <c r="A28" s="1561"/>
      <c r="B28" s="52" t="s">
        <v>182</v>
      </c>
      <c r="C28" s="170">
        <v>2</v>
      </c>
      <c r="D28" s="174" t="s">
        <v>728</v>
      </c>
      <c r="E28" s="174"/>
      <c r="F28" s="175">
        <v>11.99</v>
      </c>
      <c r="G28" s="176">
        <v>60</v>
      </c>
      <c r="H28" s="704">
        <f t="shared" si="5"/>
        <v>2538</v>
      </c>
      <c r="I28" s="705">
        <f t="shared" si="6"/>
        <v>2862</v>
      </c>
      <c r="J28" s="614">
        <f t="shared" si="8"/>
        <v>196</v>
      </c>
      <c r="K28" s="614">
        <f t="shared" si="9"/>
        <v>221</v>
      </c>
      <c r="L28" s="405">
        <v>1.08</v>
      </c>
      <c r="M28" s="641">
        <f t="shared" si="7"/>
        <v>1602</v>
      </c>
      <c r="N28" s="642">
        <f>IF(K28&gt;0,ROUND(((I28+V29+($V$50*C28))/2.5),0),"-")</f>
        <v>1803</v>
      </c>
      <c r="O28" s="1564">
        <f>'Эл-ты панельных ограждений - 1'!B25</f>
        <v>0</v>
      </c>
      <c r="P28" s="1567">
        <f>'Эл-ты панельных ограждений - 1'!C25</f>
        <v>0</v>
      </c>
      <c r="Q28" s="52">
        <f>'Эл-ты панельных ограждений - 1'!D25</f>
        <v>1.5</v>
      </c>
      <c r="R28" s="127">
        <f>'Эл-ты панельных ограждений - 1'!E25</f>
        <v>0</v>
      </c>
      <c r="S28" s="97">
        <f>'Эл-ты панельных ограждений - 1'!F25</f>
        <v>2</v>
      </c>
      <c r="T28" s="59">
        <f>'Эл-ты панельных ограждений - 1'!G25</f>
        <v>4.0599999999999996</v>
      </c>
      <c r="U28" s="1556">
        <f>'Эл-ты панельных ограждений - 1'!H25</f>
        <v>0</v>
      </c>
      <c r="V28" s="77">
        <f>'Эл-ты панельных ограждений - 1'!I25</f>
        <v>1271</v>
      </c>
      <c r="W28" s="370"/>
      <c r="X28" s="2"/>
      <c r="Y28" s="355"/>
      <c r="Z28" s="355"/>
      <c r="AB28" s="354"/>
      <c r="AC28" s="354"/>
    </row>
    <row r="29" spans="1:29" customFormat="1" ht="21.95" customHeight="1" x14ac:dyDescent="0.3">
      <c r="A29" s="1561"/>
      <c r="B29" s="52" t="s">
        <v>183</v>
      </c>
      <c r="C29" s="170">
        <v>2</v>
      </c>
      <c r="D29" s="174" t="s">
        <v>728</v>
      </c>
      <c r="E29" s="174"/>
      <c r="F29" s="175">
        <v>13.6</v>
      </c>
      <c r="G29" s="176">
        <v>60</v>
      </c>
      <c r="H29" s="704">
        <f t="shared" si="5"/>
        <v>2772</v>
      </c>
      <c r="I29" s="705">
        <f t="shared" si="6"/>
        <v>3126</v>
      </c>
      <c r="J29" s="614">
        <f t="shared" si="8"/>
        <v>196</v>
      </c>
      <c r="K29" s="614">
        <f t="shared" si="9"/>
        <v>221</v>
      </c>
      <c r="L29" s="405">
        <v>1.04</v>
      </c>
      <c r="M29" s="641">
        <f t="shared" si="7"/>
        <v>1756</v>
      </c>
      <c r="N29" s="642">
        <f>IF(K29&gt;0,ROUND(((I29+V30+($V$50*C29))/2.5),0),"-")</f>
        <v>1978</v>
      </c>
      <c r="O29" s="1564">
        <f>'Эл-ты панельных ограждений - 1'!B26</f>
        <v>0</v>
      </c>
      <c r="P29" s="1567">
        <f>'Эл-ты панельных ограждений - 1'!C26</f>
        <v>0</v>
      </c>
      <c r="Q29" s="52">
        <f>'Эл-ты панельных ограждений - 1'!D26</f>
        <v>1.7</v>
      </c>
      <c r="R29" s="127">
        <f>'Эл-ты панельных ограждений - 1'!E26</f>
        <v>0</v>
      </c>
      <c r="S29" s="97">
        <f>'Эл-ты панельных ограждений - 1'!F26</f>
        <v>2</v>
      </c>
      <c r="T29" s="59">
        <f>'Эл-ты панельных ограждений - 1'!G26</f>
        <v>4.5999999999999996</v>
      </c>
      <c r="U29" s="1556">
        <f>'Эл-ты панельных ограждений - 1'!H26</f>
        <v>0</v>
      </c>
      <c r="V29" s="77">
        <f>'Эл-ты панельных ограждений - 1'!I26</f>
        <v>1440</v>
      </c>
      <c r="W29" s="370"/>
      <c r="X29" s="2"/>
      <c r="Y29" s="355"/>
      <c r="Z29" s="355"/>
      <c r="AB29" s="354"/>
      <c r="AC29" s="354"/>
    </row>
    <row r="30" spans="1:29" customFormat="1" ht="21.95" customHeight="1" x14ac:dyDescent="0.3">
      <c r="A30" s="1561"/>
      <c r="B30" s="52" t="s">
        <v>191</v>
      </c>
      <c r="C30" s="170">
        <v>3</v>
      </c>
      <c r="D30" s="174" t="s">
        <v>728</v>
      </c>
      <c r="E30" s="174" t="s">
        <v>270</v>
      </c>
      <c r="F30" s="175">
        <v>15.21</v>
      </c>
      <c r="G30" s="176">
        <v>60</v>
      </c>
      <c r="H30" s="704">
        <f t="shared" si="5"/>
        <v>3100</v>
      </c>
      <c r="I30" s="705">
        <f t="shared" si="6"/>
        <v>3496</v>
      </c>
      <c r="J30" s="614">
        <f t="shared" si="8"/>
        <v>196</v>
      </c>
      <c r="K30" s="614">
        <f t="shared" si="9"/>
        <v>221</v>
      </c>
      <c r="L30" s="405">
        <v>1.04</v>
      </c>
      <c r="M30" s="641">
        <f t="shared" si="7"/>
        <v>1899</v>
      </c>
      <c r="N30" s="642">
        <f>IF(K30&gt;0,ROUND(((I30+V32+($V$50*C30))/2.5),0),"-")</f>
        <v>2133</v>
      </c>
      <c r="O30" s="1564">
        <f>'Эл-ты панельных ограждений - 1'!B27</f>
        <v>0</v>
      </c>
      <c r="P30" s="1567">
        <f>'Эл-ты панельных ограждений - 1'!C27</f>
        <v>0</v>
      </c>
      <c r="Q30" s="52">
        <f>'Эл-ты панельных ограждений - 1'!D27</f>
        <v>1.9</v>
      </c>
      <c r="R30" s="127">
        <f>'Эл-ты панельных ограждений - 1'!E27</f>
        <v>0</v>
      </c>
      <c r="S30" s="97">
        <f>'Эл-ты панельных ограждений - 1'!F27</f>
        <v>2</v>
      </c>
      <c r="T30" s="59">
        <f>'Эл-ты панельных ограждений - 1'!G27</f>
        <v>5.149</v>
      </c>
      <c r="U30" s="1556">
        <f>'Эл-ты панельных ограждений - 1'!H27</f>
        <v>0</v>
      </c>
      <c r="V30" s="77">
        <f>'Эл-ты панельных ограждений - 1'!I27</f>
        <v>1612</v>
      </c>
      <c r="W30" s="370"/>
      <c r="X30" s="2"/>
      <c r="Y30" s="355"/>
      <c r="Z30" s="355"/>
      <c r="AB30" s="354"/>
      <c r="AC30" s="354"/>
    </row>
    <row r="31" spans="1:29" customFormat="1" ht="21.95" customHeight="1" x14ac:dyDescent="0.3">
      <c r="A31" s="1561"/>
      <c r="B31" s="52" t="s">
        <v>192</v>
      </c>
      <c r="C31" s="170">
        <v>3</v>
      </c>
      <c r="D31" s="174" t="s">
        <v>728</v>
      </c>
      <c r="E31" s="174" t="s">
        <v>270</v>
      </c>
      <c r="F31" s="175">
        <v>16.88</v>
      </c>
      <c r="G31" s="176">
        <v>60</v>
      </c>
      <c r="H31" s="704">
        <f t="shared" si="5"/>
        <v>3441</v>
      </c>
      <c r="I31" s="705">
        <f t="shared" si="6"/>
        <v>3880</v>
      </c>
      <c r="J31" s="614">
        <f t="shared" si="8"/>
        <v>196</v>
      </c>
      <c r="K31" s="614">
        <f t="shared" si="9"/>
        <v>221</v>
      </c>
      <c r="L31" s="405">
        <v>1.04</v>
      </c>
      <c r="M31" s="641">
        <f>IF(J31&gt;0,ROUND(((H31+V11+($V$50*C31))/2.5),0),"-")</f>
        <v>2091</v>
      </c>
      <c r="N31" s="642">
        <f>IF(J31&gt;0,ROUND(((I31+V33+($V$50*C31))/2.5),0),"-")</f>
        <v>2350</v>
      </c>
      <c r="O31" s="1564">
        <f>'Эл-ты панельных ограждений - 1'!B28</f>
        <v>0</v>
      </c>
      <c r="P31" s="1567">
        <f>'Эл-ты панельных ограждений - 1'!C28</f>
        <v>0</v>
      </c>
      <c r="Q31" s="52">
        <f>'Эл-ты панельных ограждений - 1'!D28</f>
        <v>2</v>
      </c>
      <c r="R31" s="127">
        <f>'Эл-ты панельных ограждений - 1'!E28</f>
        <v>0</v>
      </c>
      <c r="S31" s="97" t="str">
        <f>'Эл-ты панельных ограждений - 1'!F28</f>
        <v>-</v>
      </c>
      <c r="T31" s="59">
        <f>'Эл-ты панельных ограждений - 1'!G28</f>
        <v>5.42</v>
      </c>
      <c r="U31" s="1556">
        <f>'Эл-ты панельных ограждений - 1'!H28</f>
        <v>0</v>
      </c>
      <c r="V31" s="77">
        <f>'Эл-ты панельных ограждений - 1'!I28</f>
        <v>1501</v>
      </c>
      <c r="W31" s="370"/>
      <c r="X31" s="2"/>
      <c r="Y31" s="355"/>
      <c r="Z31" s="355"/>
      <c r="AB31" s="354"/>
      <c r="AC31" s="354"/>
    </row>
    <row r="32" spans="1:29" customFormat="1" ht="21.95" customHeight="1" x14ac:dyDescent="0.3">
      <c r="A32" s="1561"/>
      <c r="B32" s="52" t="s">
        <v>184</v>
      </c>
      <c r="C32" s="170">
        <v>3</v>
      </c>
      <c r="D32" s="174" t="s">
        <v>728</v>
      </c>
      <c r="E32" s="174"/>
      <c r="F32" s="175">
        <v>18.5</v>
      </c>
      <c r="G32" s="176">
        <v>60</v>
      </c>
      <c r="H32" s="704">
        <f t="shared" si="5"/>
        <v>3626</v>
      </c>
      <c r="I32" s="705">
        <f t="shared" si="6"/>
        <v>4089</v>
      </c>
      <c r="J32" s="614">
        <f t="shared" si="8"/>
        <v>196</v>
      </c>
      <c r="K32" s="614">
        <f t="shared" si="9"/>
        <v>221</v>
      </c>
      <c r="L32" s="405">
        <v>1</v>
      </c>
      <c r="M32" s="641">
        <f>IF(J32&gt;0,ROUND(((H32+V13+($V$50*C32))/2.5),0),"-")</f>
        <v>2216</v>
      </c>
      <c r="N32" s="642">
        <f>IF(J32&gt;0,ROUND(((I32+V34+($V$50*C32))/2.5),0),"-")</f>
        <v>2493</v>
      </c>
      <c r="O32" s="1564">
        <f>'Эл-ты панельных ограждений - 1'!B29</f>
        <v>0</v>
      </c>
      <c r="P32" s="1567">
        <f>'Эл-ты панельных ограждений - 1'!C29</f>
        <v>0</v>
      </c>
      <c r="Q32" s="52">
        <f>'Эл-ты панельных ограждений - 1'!D29</f>
        <v>2</v>
      </c>
      <c r="R32" s="127">
        <f>'Эл-ты панельных ограждений - 1'!E29</f>
        <v>0</v>
      </c>
      <c r="S32" s="97">
        <f>'Эл-ты панельных ограждений - 1'!F29</f>
        <v>3</v>
      </c>
      <c r="T32" s="59">
        <f>'Эл-ты панельных ограждений - 1'!G29</f>
        <v>5.42</v>
      </c>
      <c r="U32" s="1556">
        <f>'Эл-ты панельных ограждений - 1'!H29</f>
        <v>0</v>
      </c>
      <c r="V32" s="77">
        <f>'Эл-ты панельных ограждений - 1'!I29</f>
        <v>1528</v>
      </c>
      <c r="W32" s="370"/>
      <c r="X32" s="2"/>
      <c r="Y32" s="355"/>
      <c r="Z32" s="355"/>
      <c r="AB32" s="354"/>
      <c r="AC32" s="354"/>
    </row>
    <row r="33" spans="1:29" customFormat="1" ht="21.95" customHeight="1" x14ac:dyDescent="0.3">
      <c r="A33" s="1561"/>
      <c r="B33" s="52" t="s">
        <v>194</v>
      </c>
      <c r="C33" s="170">
        <v>4</v>
      </c>
      <c r="D33" s="174" t="s">
        <v>728</v>
      </c>
      <c r="E33" s="174" t="s">
        <v>270</v>
      </c>
      <c r="F33" s="175">
        <v>20.09</v>
      </c>
      <c r="G33" s="176">
        <v>60</v>
      </c>
      <c r="H33" s="704">
        <f t="shared" si="5"/>
        <v>3938</v>
      </c>
      <c r="I33" s="705">
        <f t="shared" si="6"/>
        <v>4440</v>
      </c>
      <c r="J33" s="614">
        <f t="shared" si="8"/>
        <v>196</v>
      </c>
      <c r="K33" s="614">
        <f t="shared" si="9"/>
        <v>221</v>
      </c>
      <c r="L33" s="405">
        <v>1</v>
      </c>
      <c r="M33" s="641">
        <f>IF(J33&gt;0,ROUND(((H33+V15+($V$50*C33))/2.5),0),"-")</f>
        <v>2409</v>
      </c>
      <c r="N33" s="642">
        <f>IF(J33&gt;0,ROUND(((I33+V37+($V$50*C33))/2.5),0),"-")</f>
        <v>2704</v>
      </c>
      <c r="O33" s="1564">
        <f>'Эл-ты панельных ограждений - 1'!B31</f>
        <v>0</v>
      </c>
      <c r="P33" s="1567">
        <f>'Эл-ты панельных ограждений - 1'!C31</f>
        <v>0</v>
      </c>
      <c r="Q33" s="52">
        <f>'Эл-ты панельных ограждений - 1'!D31</f>
        <v>2.2000000000000002</v>
      </c>
      <c r="R33" s="127">
        <f>'Эл-ты панельных ограждений - 1'!E31</f>
        <v>0</v>
      </c>
      <c r="S33" s="97">
        <f>'Эл-ты панельных ограждений - 1'!F31</f>
        <v>3</v>
      </c>
      <c r="T33" s="59">
        <f>'Эл-ты панельных ограждений - 1'!G31</f>
        <v>5.98</v>
      </c>
      <c r="U33" s="1556">
        <f>'Эл-ты панельных ограждений - 1'!H31</f>
        <v>96</v>
      </c>
      <c r="V33" s="77">
        <f>'Эл-ты панельных ограждений - 1'!I31</f>
        <v>1686</v>
      </c>
      <c r="W33" s="370"/>
      <c r="X33" s="2"/>
      <c r="Y33" s="355"/>
      <c r="Z33" s="355"/>
      <c r="AB33" s="354"/>
      <c r="AC33" s="354"/>
    </row>
    <row r="34" spans="1:29" customFormat="1" ht="21.95" customHeight="1" x14ac:dyDescent="0.3">
      <c r="A34" s="1561"/>
      <c r="B34" s="52" t="s">
        <v>185</v>
      </c>
      <c r="C34" s="170">
        <v>4</v>
      </c>
      <c r="D34" s="174" t="s">
        <v>728</v>
      </c>
      <c r="E34" s="174"/>
      <c r="F34" s="175">
        <v>21.78</v>
      </c>
      <c r="G34" s="176">
        <v>60</v>
      </c>
      <c r="H34" s="704">
        <f t="shared" si="5"/>
        <v>4269</v>
      </c>
      <c r="I34" s="705">
        <f t="shared" si="6"/>
        <v>4813</v>
      </c>
      <c r="J34" s="614">
        <f t="shared" si="8"/>
        <v>196</v>
      </c>
      <c r="K34" s="614">
        <f t="shared" si="9"/>
        <v>221</v>
      </c>
      <c r="L34" s="405">
        <v>1</v>
      </c>
      <c r="M34" s="641">
        <f>IF(J34&gt;0,ROUND(((H34+V18+($V$50*C34))/2.5),0),"-")</f>
        <v>2675</v>
      </c>
      <c r="N34" s="642">
        <f>IF(J34&gt;0,ROUND(((I34+V40+($V$50*C34))/2.5),0),"-")</f>
        <v>3006</v>
      </c>
      <c r="O34" s="1564">
        <f>'Эл-ты панельных ограждений - 1'!B32</f>
        <v>0</v>
      </c>
      <c r="P34" s="1567">
        <f>'Эл-ты панельных ограждений - 1'!C32</f>
        <v>0</v>
      </c>
      <c r="Q34" s="52">
        <f>'Эл-ты панельных ограждений - 1'!D32</f>
        <v>2.4</v>
      </c>
      <c r="R34" s="127">
        <f>'Эл-ты панельных ограждений - 1'!E32</f>
        <v>0</v>
      </c>
      <c r="S34" s="97">
        <f>'Эл-ты панельных ограждений - 1'!F32</f>
        <v>3</v>
      </c>
      <c r="T34" s="59">
        <f>'Эл-ты панельных ограждений - 1'!G32</f>
        <v>6.5039999999999996</v>
      </c>
      <c r="U34" s="1556">
        <f>'Эл-ты панельных ограждений - 1'!H32</f>
        <v>0</v>
      </c>
      <c r="V34" s="77">
        <f>'Эл-ты панельных ограждений - 1'!I32</f>
        <v>1834</v>
      </c>
      <c r="W34" s="370"/>
      <c r="X34" s="2"/>
      <c r="Y34" s="355"/>
      <c r="Z34" s="355"/>
      <c r="AB34" s="354"/>
      <c r="AC34" s="354"/>
    </row>
    <row r="35" spans="1:29" customFormat="1" ht="21.95" customHeight="1" x14ac:dyDescent="0.3">
      <c r="A35" s="1561"/>
      <c r="B35" s="52" t="s">
        <v>196</v>
      </c>
      <c r="C35" s="170">
        <v>4</v>
      </c>
      <c r="D35" s="174" t="s">
        <v>728</v>
      </c>
      <c r="E35" s="174" t="s">
        <v>270</v>
      </c>
      <c r="F35" s="175">
        <v>23.41</v>
      </c>
      <c r="G35" s="176">
        <v>60</v>
      </c>
      <c r="H35" s="704">
        <f t="shared" si="5"/>
        <v>4588</v>
      </c>
      <c r="I35" s="705">
        <f t="shared" si="6"/>
        <v>5174</v>
      </c>
      <c r="J35" s="614">
        <f t="shared" si="8"/>
        <v>196</v>
      </c>
      <c r="K35" s="614">
        <f t="shared" si="9"/>
        <v>221</v>
      </c>
      <c r="L35" s="405">
        <v>1</v>
      </c>
      <c r="M35" s="641">
        <f>IF(J35&gt;0,ROUND(((H35+V18+($V$50*C35))/2.5),0),"-")</f>
        <v>2802</v>
      </c>
      <c r="N35" s="642">
        <f>IF(J35&gt;0,ROUND(((I35+V40+($V$50*C35))/2.5),0),"-")</f>
        <v>3150</v>
      </c>
      <c r="O35" s="1564">
        <f>'Эл-ты панельных ограждений - 1'!B33</f>
        <v>0</v>
      </c>
      <c r="P35" s="1567">
        <f>'Эл-ты панельных ограждений - 1'!C33</f>
        <v>0</v>
      </c>
      <c r="Q35" s="52">
        <f>'Эл-ты панельных ограждений - 1'!D33</f>
        <v>2.5</v>
      </c>
      <c r="R35" s="127" t="str">
        <f>'Эл-ты панельных ограждений - 1'!E33</f>
        <v>№ 2</v>
      </c>
      <c r="S35" s="97" t="str">
        <f>'Эл-ты панельных ограждений - 1'!F33</f>
        <v>-</v>
      </c>
      <c r="T35" s="59">
        <f>'Эл-ты панельных ограждений - 1'!G33</f>
        <v>6.7750000000000004</v>
      </c>
      <c r="U35" s="1556">
        <f>'Эл-ты панельных ограждений - 1'!H33</f>
        <v>0</v>
      </c>
      <c r="V35" s="77">
        <f>'Эл-ты панельных ограждений - 1'!I33</f>
        <v>1877</v>
      </c>
      <c r="W35" s="370"/>
      <c r="X35" s="2"/>
      <c r="Y35" s="355"/>
      <c r="Z35" s="355"/>
      <c r="AB35" s="354"/>
      <c r="AC35" s="354"/>
    </row>
    <row r="36" spans="1:29" customFormat="1" ht="21.95" customHeight="1" x14ac:dyDescent="0.3">
      <c r="A36" s="1561"/>
      <c r="B36" s="71" t="s">
        <v>186</v>
      </c>
      <c r="C36" s="184">
        <v>4</v>
      </c>
      <c r="D36" s="171" t="s">
        <v>728</v>
      </c>
      <c r="E36" s="171"/>
      <c r="F36" s="185">
        <v>24.8</v>
      </c>
      <c r="G36" s="186">
        <v>60</v>
      </c>
      <c r="H36" s="704">
        <f t="shared" si="5"/>
        <v>4861</v>
      </c>
      <c r="I36" s="705">
        <f t="shared" si="6"/>
        <v>5481</v>
      </c>
      <c r="J36" s="614">
        <f t="shared" si="8"/>
        <v>196</v>
      </c>
      <c r="K36" s="614">
        <f t="shared" si="9"/>
        <v>221</v>
      </c>
      <c r="L36" s="405">
        <v>1</v>
      </c>
      <c r="M36" s="641">
        <f>IF(J36&gt;0,ROUND(((H36+V19+($V$50*C36))/2.5),0),"-")</f>
        <v>3202</v>
      </c>
      <c r="N36" s="642">
        <f>IF(J36&gt;0,ROUND(((I36+V41+($V$50*C36))/2.5),0),"-")</f>
        <v>3605</v>
      </c>
      <c r="O36" s="1564">
        <f>'Эл-ты панельных ограждений - 1'!B34</f>
        <v>0</v>
      </c>
      <c r="P36" s="1567">
        <f>'Эл-ты панельных ограждений - 1'!C34</f>
        <v>0</v>
      </c>
      <c r="Q36" s="52">
        <f>'Эл-ты панельных ограждений - 1'!D34</f>
        <v>2.5</v>
      </c>
      <c r="R36" s="127">
        <f>'Эл-ты панельных ограждений - 1'!E34</f>
        <v>0</v>
      </c>
      <c r="S36" s="97">
        <f>'Эл-ты панельных ограждений - 1'!F34</f>
        <v>4</v>
      </c>
      <c r="T36" s="59">
        <f>'Эл-ты панельных ограждений - 1'!G34</f>
        <v>6.79</v>
      </c>
      <c r="U36" s="1556">
        <f>'Эл-ты панельных ограждений - 1'!H34</f>
        <v>0</v>
      </c>
      <c r="V36" s="77">
        <f>'Эл-ты панельных ограждений - 1'!I34</f>
        <v>1915</v>
      </c>
      <c r="W36" s="370"/>
      <c r="X36" s="2"/>
      <c r="Y36" s="355"/>
      <c r="Z36" s="355"/>
      <c r="AB36" s="354"/>
      <c r="AC36" s="354"/>
    </row>
    <row r="37" spans="1:29" customFormat="1" ht="21.95" customHeight="1" x14ac:dyDescent="0.3">
      <c r="A37" s="458"/>
      <c r="B37" s="52" t="s">
        <v>187</v>
      </c>
      <c r="C37" s="170">
        <v>4</v>
      </c>
      <c r="D37" s="174" t="s">
        <v>728</v>
      </c>
      <c r="E37" s="174"/>
      <c r="F37" s="175">
        <v>25.56</v>
      </c>
      <c r="G37" s="176">
        <v>60</v>
      </c>
      <c r="H37" s="704">
        <f t="shared" si="5"/>
        <v>5210</v>
      </c>
      <c r="I37" s="705">
        <f t="shared" si="6"/>
        <v>5875</v>
      </c>
      <c r="J37" s="614">
        <f t="shared" si="8"/>
        <v>196</v>
      </c>
      <c r="K37" s="614">
        <f t="shared" si="9"/>
        <v>221</v>
      </c>
      <c r="L37" s="405">
        <v>1.04</v>
      </c>
      <c r="M37" s="641">
        <f>IF(J37&gt;0,ROUND(((H37+V19+($V$50*C37))/2.5),0),"-")</f>
        <v>3342</v>
      </c>
      <c r="N37" s="642">
        <f>IF(J37&gt;0,ROUND(((I37+V41+($V$50*C37))/2.5),0),"-")</f>
        <v>3762</v>
      </c>
      <c r="O37" s="1564">
        <f>'Эл-ты панельных ограждений - 1'!B35</f>
        <v>0</v>
      </c>
      <c r="P37" s="1567">
        <f>'Эл-ты панельных ограждений - 1'!C35</f>
        <v>0</v>
      </c>
      <c r="Q37" s="52">
        <f>'Эл-ты панельных ограждений - 1'!D35</f>
        <v>2.5</v>
      </c>
      <c r="R37" s="127" t="str">
        <f>'Эл-ты панельных ограждений - 1'!E35</f>
        <v>№ 2,4,5</v>
      </c>
      <c r="S37" s="97">
        <f>'Эл-ты панельных ограждений - 1'!F35</f>
        <v>5</v>
      </c>
      <c r="T37" s="59">
        <f>'Эл-ты панельных ограждений - 1'!G35</f>
        <v>6.77</v>
      </c>
      <c r="U37" s="1556">
        <f>'Эл-ты панельных ограждений - 1'!H35</f>
        <v>0</v>
      </c>
      <c r="V37" s="77">
        <f>'Эл-ты панельных ограждений - 1'!I35</f>
        <v>1909</v>
      </c>
      <c r="W37" s="370"/>
      <c r="X37" s="2"/>
      <c r="Y37" s="355"/>
      <c r="Z37" s="355"/>
      <c r="AB37" s="354"/>
      <c r="AC37" s="354"/>
    </row>
    <row r="38" spans="1:29" customFormat="1" ht="21.95" customHeight="1" x14ac:dyDescent="0.3">
      <c r="A38" s="458"/>
      <c r="B38" s="52" t="s">
        <v>188</v>
      </c>
      <c r="C38" s="170">
        <v>4</v>
      </c>
      <c r="D38" s="174" t="s">
        <v>728</v>
      </c>
      <c r="E38" s="174"/>
      <c r="F38" s="175">
        <v>27.15</v>
      </c>
      <c r="G38" s="176">
        <v>50</v>
      </c>
      <c r="H38" s="704">
        <f t="shared" si="5"/>
        <v>5534</v>
      </c>
      <c r="I38" s="705">
        <f t="shared" si="6"/>
        <v>6240</v>
      </c>
      <c r="J38" s="614">
        <f t="shared" si="8"/>
        <v>196</v>
      </c>
      <c r="K38" s="614">
        <f t="shared" si="9"/>
        <v>221</v>
      </c>
      <c r="L38" s="405">
        <v>1.04</v>
      </c>
      <c r="M38" s="641">
        <f>IF(J38&gt;0,ROUND(((H38+V19+($V$50*C38))/2.5),0),"-")</f>
        <v>3471</v>
      </c>
      <c r="N38" s="642">
        <f>IF(J38&gt;0,ROUND(((I38+V41+($V$50*C38))/2.5),0),"-")</f>
        <v>3908</v>
      </c>
      <c r="O38" s="1564">
        <f>'Эл-ты панельных ограждений - 1'!B36</f>
        <v>0</v>
      </c>
      <c r="P38" s="1567">
        <f>'Эл-ты панельных ограждений - 1'!C36</f>
        <v>0</v>
      </c>
      <c r="Q38" s="52">
        <f>'Эл-ты панельных ограждений - 1'!D36</f>
        <v>3</v>
      </c>
      <c r="R38" s="127" t="str">
        <f>'Эл-ты панельных ограждений - 1'!E36</f>
        <v>№ 2,4,5</v>
      </c>
      <c r="S38" s="97" t="str">
        <f>'Эл-ты панельных ограждений - 1'!F36</f>
        <v>-</v>
      </c>
      <c r="T38" s="59">
        <f>'Эл-ты панельных ограждений - 1'!G36</f>
        <v>8.129999999999999</v>
      </c>
      <c r="U38" s="1556">
        <f>'Эл-ты панельных ограждений - 1'!H36</f>
        <v>0</v>
      </c>
      <c r="V38" s="77">
        <f>'Эл-ты панельных ограждений - 1'!I36</f>
        <v>2252</v>
      </c>
      <c r="W38" s="370"/>
      <c r="X38" s="2"/>
      <c r="Y38" s="355"/>
      <c r="Z38" s="355"/>
      <c r="AB38" s="354"/>
      <c r="AC38" s="354"/>
    </row>
    <row r="39" spans="1:29" customFormat="1" ht="21.95" customHeight="1" x14ac:dyDescent="0.3">
      <c r="A39" s="459"/>
      <c r="B39" s="53" t="s">
        <v>189</v>
      </c>
      <c r="C39" s="187">
        <v>5</v>
      </c>
      <c r="D39" s="188" t="s">
        <v>728</v>
      </c>
      <c r="E39" s="188"/>
      <c r="F39" s="189">
        <v>31.27</v>
      </c>
      <c r="G39" s="190">
        <v>50</v>
      </c>
      <c r="H39" s="707">
        <f t="shared" si="5"/>
        <v>6374</v>
      </c>
      <c r="I39" s="708">
        <f t="shared" si="6"/>
        <v>7187</v>
      </c>
      <c r="J39" s="616">
        <f t="shared" si="8"/>
        <v>196</v>
      </c>
      <c r="K39" s="616">
        <f t="shared" si="9"/>
        <v>221</v>
      </c>
      <c r="L39" s="407">
        <v>1.04</v>
      </c>
      <c r="M39" s="644">
        <f>IF(J39&gt;0,ROUND(((H39+V23+($V$50*C39))/2.5),0),"-")</f>
        <v>4723</v>
      </c>
      <c r="N39" s="645">
        <f>IF(J39&gt;0,ROUND(((I39+V49+($V$50*C39))/2.5),0),"-")</f>
        <v>5322</v>
      </c>
      <c r="O39" s="1564">
        <f>'Эл-ты панельных ограждений - 1'!B37</f>
        <v>0</v>
      </c>
      <c r="P39" s="1567">
        <f>'Эл-ты панельных ограждений - 1'!C37</f>
        <v>0</v>
      </c>
      <c r="Q39" s="52">
        <f>'Эл-ты панельных ограждений - 1'!D37</f>
        <v>3</v>
      </c>
      <c r="R39" s="127">
        <f>'Эл-ты панельных ограждений - 1'!E37</f>
        <v>0</v>
      </c>
      <c r="S39" s="97">
        <f>'Эл-ты панельных ограждений - 1'!F37</f>
        <v>4</v>
      </c>
      <c r="T39" s="59">
        <f>'Эл-ты панельных ограждений - 1'!G37</f>
        <v>8.1199999999999992</v>
      </c>
      <c r="U39" s="1556">
        <f>'Эл-ты панельных ограждений - 1'!H37</f>
        <v>0</v>
      </c>
      <c r="V39" s="77">
        <f>'Эл-ты панельных ограждений - 1'!I37</f>
        <v>2290</v>
      </c>
      <c r="W39" s="370"/>
      <c r="X39" s="2"/>
      <c r="Y39" s="355"/>
      <c r="Z39" s="355"/>
      <c r="AB39" s="354"/>
      <c r="AC39" s="354"/>
    </row>
    <row r="40" spans="1:29" customFormat="1" ht="21.95" customHeight="1" x14ac:dyDescent="0.3">
      <c r="A40" s="1560" t="s">
        <v>396</v>
      </c>
      <c r="B40" s="54" t="s">
        <v>180</v>
      </c>
      <c r="C40" s="173">
        <v>2</v>
      </c>
      <c r="D40" s="191" t="s">
        <v>728</v>
      </c>
      <c r="E40" s="191"/>
      <c r="F40" s="172">
        <v>10.3</v>
      </c>
      <c r="G40" s="173">
        <v>100</v>
      </c>
      <c r="H40" s="709">
        <f t="shared" si="5"/>
        <v>2402</v>
      </c>
      <c r="I40" s="703">
        <f t="shared" si="6"/>
        <v>2772</v>
      </c>
      <c r="J40" s="615">
        <v>201</v>
      </c>
      <c r="K40" s="615">
        <v>232</v>
      </c>
      <c r="L40" s="404">
        <v>1.1599999999999999</v>
      </c>
      <c r="M40" s="639">
        <f t="shared" ref="M40:M45" si="10">IF(J40&gt;0,ROUND(((H40+V4+($V$50*C40))/2.5),0),"-")</f>
        <v>1370</v>
      </c>
      <c r="N40" s="640">
        <f>IF(J40&gt;0,ROUND(((I40+V25+($V$50*C40))/2.5),0),"-")</f>
        <v>1564</v>
      </c>
      <c r="O40" s="389">
        <f>'Эл-ты панельных ограждений - 1'!B38</f>
        <v>0</v>
      </c>
      <c r="P40" s="1568">
        <f>'Эл-ты панельных ограждений - 1'!C38</f>
        <v>0</v>
      </c>
      <c r="Q40" s="52">
        <f>'Эл-ты панельных ограждений - 1'!D38</f>
        <v>3</v>
      </c>
      <c r="R40" s="127" t="str">
        <f>'Эл-ты панельных ограждений - 1'!E38</f>
        <v>№ 2,3</v>
      </c>
      <c r="S40" s="109">
        <f>'Эл-ты панельных ограждений - 1'!F38</f>
        <v>5</v>
      </c>
      <c r="T40" s="59">
        <f>'Эл-ты панельных ограждений - 1'!G38</f>
        <v>8.1199999999999992</v>
      </c>
      <c r="U40" s="1556">
        <f>'Эл-ты панельных ограждений - 1'!H38</f>
        <v>0</v>
      </c>
      <c r="V40" s="77">
        <f>'Эл-ты панельных ограждений - 1'!I38</f>
        <v>2290</v>
      </c>
      <c r="W40" s="370"/>
      <c r="X40" s="2"/>
      <c r="Y40" s="2"/>
      <c r="Z40" s="355"/>
      <c r="AA40" s="355"/>
      <c r="AB40" s="354"/>
      <c r="AC40" s="354"/>
    </row>
    <row r="41" spans="1:29" customFormat="1" ht="21.95" customHeight="1" x14ac:dyDescent="0.3">
      <c r="A41" s="1561"/>
      <c r="B41" s="91" t="s">
        <v>181</v>
      </c>
      <c r="C41" s="186">
        <v>2</v>
      </c>
      <c r="D41" s="192" t="s">
        <v>728</v>
      </c>
      <c r="E41" s="192"/>
      <c r="F41" s="185">
        <v>12.75</v>
      </c>
      <c r="G41" s="186">
        <v>100</v>
      </c>
      <c r="H41" s="710">
        <f t="shared" si="5"/>
        <v>2973</v>
      </c>
      <c r="I41" s="705">
        <f t="shared" si="6"/>
        <v>3431</v>
      </c>
      <c r="J41" s="614">
        <f>$J$40</f>
        <v>201</v>
      </c>
      <c r="K41" s="614">
        <f>$K$40</f>
        <v>232</v>
      </c>
      <c r="L41" s="405">
        <v>1.1599999999999999</v>
      </c>
      <c r="M41" s="641">
        <f t="shared" si="10"/>
        <v>1658</v>
      </c>
      <c r="N41" s="642">
        <f>IF(J41&gt;0,ROUND(((I41+V26+($V$50*C41))/2.5),0),"-")</f>
        <v>1896</v>
      </c>
      <c r="O41" s="1558" t="str">
        <f>'Эл-ты панельных ограждений - 1'!B39</f>
        <v>примечания:
№2 - поддерживается на складе в цвете RAL 6005
№3 - поддерживается на складе в цвете RAL 7040
№4 - поддерживается на складе в цвете RAL 8017
№5 - поддерживается на складе в цвете RAL 7024</v>
      </c>
      <c r="P41" s="1568">
        <f>'Эл-ты панельных ограждений - 1'!C39</f>
        <v>0</v>
      </c>
      <c r="Q41" s="130">
        <f>'Эл-ты панельных ограждений - 1'!D39</f>
        <v>4</v>
      </c>
      <c r="R41" s="129">
        <f>'Эл-ты панельных ограждений - 1'!E39</f>
        <v>0</v>
      </c>
      <c r="S41" s="109">
        <f>'Эл-ты панельных ограждений - 1'!F39</f>
        <v>6</v>
      </c>
      <c r="T41" s="117">
        <f>'Эл-ты панельных ограждений - 1'!G39</f>
        <v>11.06</v>
      </c>
      <c r="U41" s="1556">
        <f>'Эл-ты панельных ограждений - 1'!H39</f>
        <v>0</v>
      </c>
      <c r="V41" s="78">
        <f>'Эл-ты панельных ограждений - 1'!I39</f>
        <v>3119</v>
      </c>
      <c r="W41" s="370"/>
      <c r="X41" s="2"/>
      <c r="Y41" s="355"/>
      <c r="Z41" s="355"/>
      <c r="AB41" s="354"/>
      <c r="AC41" s="354"/>
    </row>
    <row r="42" spans="1:29" customFormat="1" ht="21.95" customHeight="1" x14ac:dyDescent="0.3">
      <c r="A42" s="1561"/>
      <c r="B42" s="91" t="s">
        <v>190</v>
      </c>
      <c r="C42" s="186">
        <v>2</v>
      </c>
      <c r="D42" s="192" t="s">
        <v>728</v>
      </c>
      <c r="E42" s="192"/>
      <c r="F42" s="185">
        <v>15.04</v>
      </c>
      <c r="G42" s="186">
        <v>50</v>
      </c>
      <c r="H42" s="710">
        <f t="shared" si="5"/>
        <v>3265</v>
      </c>
      <c r="I42" s="705">
        <f t="shared" si="6"/>
        <v>3768</v>
      </c>
      <c r="J42" s="614">
        <f t="shared" ref="J42:J54" si="11">$J$40</f>
        <v>201</v>
      </c>
      <c r="K42" s="614">
        <f t="shared" ref="K42:K54" si="12">$K$40</f>
        <v>232</v>
      </c>
      <c r="L42" s="405">
        <v>1.08</v>
      </c>
      <c r="M42" s="641">
        <f t="shared" si="10"/>
        <v>1834</v>
      </c>
      <c r="N42" s="642">
        <f>IF(J42&gt;0,ROUND(((I42+V28+($V$50*C42))/2.5),0),"-")</f>
        <v>2098</v>
      </c>
      <c r="O42" s="1558">
        <f>'Эл-ты панельных ограждений - 1'!B40</f>
        <v>0</v>
      </c>
      <c r="P42" s="1565" t="str">
        <f>'Эл-ты панельных ограждений - 1'!C40</f>
        <v>80х80х2,0</v>
      </c>
      <c r="Q42" s="54">
        <f>'Эл-ты панельных ограждений - 1'!D40</f>
        <v>4</v>
      </c>
      <c r="R42" s="125">
        <f>'Эл-ты панельных ограждений - 1'!E40</f>
        <v>0</v>
      </c>
      <c r="S42" s="96">
        <f>'Эл-ты панельных ограждений - 1'!F40</f>
        <v>6</v>
      </c>
      <c r="T42" s="58">
        <f>'Эл-ты панельных ограждений - 1'!G40</f>
        <v>19.2</v>
      </c>
      <c r="U42" s="1555">
        <f>'Эл-ты панельных ограждений - 1'!H40</f>
        <v>54</v>
      </c>
      <c r="V42" s="76">
        <f>'Эл-ты панельных ограждений - 1'!I40</f>
        <v>5069</v>
      </c>
      <c r="W42" s="370"/>
      <c r="X42" s="2"/>
      <c r="Y42" s="355"/>
      <c r="Z42" s="355"/>
      <c r="AB42" s="354"/>
      <c r="AC42" s="354"/>
    </row>
    <row r="43" spans="1:29" customFormat="1" ht="21.95" customHeight="1" x14ac:dyDescent="0.3">
      <c r="A43" s="1561"/>
      <c r="B43" s="91" t="s">
        <v>182</v>
      </c>
      <c r="C43" s="186">
        <v>2</v>
      </c>
      <c r="D43" s="192" t="s">
        <v>728</v>
      </c>
      <c r="E43" s="192"/>
      <c r="F43" s="185">
        <v>17.64</v>
      </c>
      <c r="G43" s="186">
        <v>50</v>
      </c>
      <c r="H43" s="710">
        <f t="shared" si="5"/>
        <v>3829</v>
      </c>
      <c r="I43" s="705">
        <f t="shared" si="6"/>
        <v>4420</v>
      </c>
      <c r="J43" s="614">
        <f t="shared" si="11"/>
        <v>201</v>
      </c>
      <c r="K43" s="614">
        <f t="shared" si="12"/>
        <v>232</v>
      </c>
      <c r="L43" s="405">
        <v>1.08</v>
      </c>
      <c r="M43" s="641">
        <f t="shared" si="10"/>
        <v>2118</v>
      </c>
      <c r="N43" s="642">
        <f>IF(J43&gt;0,ROUND(((I43+V29+($V$50*C43))/2.5),0),"-")</f>
        <v>2426</v>
      </c>
      <c r="O43" s="1558">
        <f>'Эл-ты панельных ограждений - 1'!B41</f>
        <v>0</v>
      </c>
      <c r="P43" s="1595">
        <f>'Эл-ты панельных ограждений - 1'!C41</f>
        <v>0</v>
      </c>
      <c r="Q43" s="53">
        <f>'Эл-ты панельных ограждений - 1'!D41</f>
        <v>5</v>
      </c>
      <c r="R43" s="128">
        <f>'Эл-ты панельных ограждений - 1'!E41</f>
        <v>0</v>
      </c>
      <c r="S43" s="98">
        <f>'Эл-ты панельных ограждений - 1'!F41</f>
        <v>8</v>
      </c>
      <c r="T43" s="74">
        <f>'Эл-ты панельных ограждений - 1'!G41</f>
        <v>24</v>
      </c>
      <c r="U43" s="1557" t="str">
        <f>'Эл-ты панельных ограждений - 1'!H41</f>
        <v>54*</v>
      </c>
      <c r="V43" s="78">
        <f>'Эл-ты панельных ограждений - 1'!I41</f>
        <v>6336</v>
      </c>
      <c r="W43" s="370"/>
      <c r="X43" s="2"/>
      <c r="Y43" s="355"/>
      <c r="Z43" s="355"/>
      <c r="AB43" s="354"/>
      <c r="AC43" s="354"/>
    </row>
    <row r="44" spans="1:29" customFormat="1" ht="21.95" customHeight="1" x14ac:dyDescent="0.3">
      <c r="A44" s="1561"/>
      <c r="B44" s="91" t="s">
        <v>183</v>
      </c>
      <c r="C44" s="186">
        <v>2</v>
      </c>
      <c r="D44" s="192" t="s">
        <v>728</v>
      </c>
      <c r="E44" s="192"/>
      <c r="F44" s="185">
        <v>21.3</v>
      </c>
      <c r="G44" s="186">
        <v>50</v>
      </c>
      <c r="H44" s="711">
        <f t="shared" si="5"/>
        <v>4453</v>
      </c>
      <c r="I44" s="705">
        <f t="shared" si="6"/>
        <v>5139</v>
      </c>
      <c r="J44" s="614">
        <f t="shared" si="11"/>
        <v>201</v>
      </c>
      <c r="K44" s="614">
        <f t="shared" si="12"/>
        <v>232</v>
      </c>
      <c r="L44" s="405">
        <v>1.04</v>
      </c>
      <c r="M44" s="641">
        <f t="shared" si="10"/>
        <v>2428</v>
      </c>
      <c r="N44" s="642">
        <f>IF(J44&gt;0,ROUND(((I44+V30+($V$50*C44))/2.5),0),"-")</f>
        <v>2783</v>
      </c>
      <c r="O44" s="1558">
        <f>'Эл-ты панельных ограждений - 1'!B42</f>
        <v>0</v>
      </c>
      <c r="P44" s="1560" t="str">
        <f>'Эл-ты панельных ограждений - 1'!C42</f>
        <v>90х55х1,6</v>
      </c>
      <c r="Q44" s="54">
        <f>'Эл-ты панельных ограждений - 1'!D42</f>
        <v>3</v>
      </c>
      <c r="R44" s="125">
        <f>'Эл-ты панельных ограждений - 1'!E42</f>
        <v>0</v>
      </c>
      <c r="S44" s="96" t="str">
        <f>'Эл-ты панельных ограждений - 1'!F42</f>
        <v>-</v>
      </c>
      <c r="T44" s="58">
        <f>'Эл-ты панельных ограждений - 1'!G42</f>
        <v>11.64</v>
      </c>
      <c r="U44" s="1555">
        <f>'Эл-ты панельных ограждений - 1'!H42</f>
        <v>64</v>
      </c>
      <c r="V44" s="76">
        <f>'Эл-ты панельных ограждений - 1'!I42</f>
        <v>3224</v>
      </c>
      <c r="W44" s="370"/>
      <c r="X44" s="2"/>
      <c r="Y44" s="355"/>
      <c r="Z44" s="355"/>
      <c r="AB44" s="354"/>
      <c r="AC44" s="354"/>
    </row>
    <row r="45" spans="1:29" customFormat="1" ht="21.95" customHeight="1" x14ac:dyDescent="0.3">
      <c r="A45" s="1561"/>
      <c r="B45" s="52" t="s">
        <v>191</v>
      </c>
      <c r="C45" s="176">
        <v>3</v>
      </c>
      <c r="D45" s="181" t="s">
        <v>728</v>
      </c>
      <c r="E45" s="181"/>
      <c r="F45" s="175">
        <v>23.7</v>
      </c>
      <c r="G45" s="176">
        <v>50</v>
      </c>
      <c r="H45" s="710">
        <f t="shared" si="5"/>
        <v>4954</v>
      </c>
      <c r="I45" s="705">
        <f t="shared" si="6"/>
        <v>5718</v>
      </c>
      <c r="J45" s="614">
        <f t="shared" si="11"/>
        <v>201</v>
      </c>
      <c r="K45" s="614">
        <f t="shared" si="12"/>
        <v>232</v>
      </c>
      <c r="L45" s="405">
        <v>1.04</v>
      </c>
      <c r="M45" s="641">
        <f t="shared" si="10"/>
        <v>2641</v>
      </c>
      <c r="N45" s="642">
        <f>IF(J45&gt;0,ROUND(((I45+V32+($V$50*C45))/2.5),0),"-")</f>
        <v>3022</v>
      </c>
      <c r="O45" s="1558">
        <f>'Эл-ты панельных ограждений - 1'!B43</f>
        <v>0</v>
      </c>
      <c r="P45" s="1561">
        <f>'Эл-ты панельных ограждений - 1'!C43</f>
        <v>0</v>
      </c>
      <c r="Q45" s="52">
        <f>'Эл-ты панельных ограждений - 1'!D43</f>
        <v>4</v>
      </c>
      <c r="R45" s="127">
        <f>'Эл-ты панельных ограждений - 1'!E43</f>
        <v>0</v>
      </c>
      <c r="S45" s="97" t="str">
        <f>'Эл-ты панельных ограждений - 1'!F43</f>
        <v>-</v>
      </c>
      <c r="T45" s="59">
        <f>'Эл-ты панельных ограждений - 1'!G43</f>
        <v>15.52</v>
      </c>
      <c r="U45" s="1556">
        <f>'Эл-ты панельных ограждений - 1'!H43</f>
        <v>0</v>
      </c>
      <c r="V45" s="77">
        <f>'Эл-ты панельных ограждений - 1'!I43</f>
        <v>4299</v>
      </c>
      <c r="W45" s="370"/>
      <c r="X45" s="2"/>
      <c r="Y45" s="355"/>
      <c r="Z45" s="355"/>
      <c r="AB45" s="354"/>
      <c r="AC45" s="354"/>
    </row>
    <row r="46" spans="1:29" customFormat="1" ht="21.95" customHeight="1" x14ac:dyDescent="0.3">
      <c r="A46" s="1561"/>
      <c r="B46" s="52" t="s">
        <v>192</v>
      </c>
      <c r="C46" s="193">
        <v>3</v>
      </c>
      <c r="D46" s="194" t="s">
        <v>728</v>
      </c>
      <c r="E46" s="194"/>
      <c r="F46" s="408">
        <v>24.83</v>
      </c>
      <c r="G46" s="193">
        <v>50</v>
      </c>
      <c r="H46" s="710">
        <f t="shared" si="5"/>
        <v>5190</v>
      </c>
      <c r="I46" s="705">
        <f t="shared" si="6"/>
        <v>5991</v>
      </c>
      <c r="J46" s="614">
        <f t="shared" si="11"/>
        <v>201</v>
      </c>
      <c r="K46" s="614">
        <f t="shared" si="12"/>
        <v>232</v>
      </c>
      <c r="L46" s="405">
        <v>1.04</v>
      </c>
      <c r="M46" s="641">
        <f>IF(J46&gt;0,ROUND(((H46+V11+($V$50*C46))/2.5),0),"-")</f>
        <v>2790</v>
      </c>
      <c r="N46" s="642">
        <f>IF(J46&gt;0,ROUND(((I46+V33+($V$50*C46))/2.5),0),"-")</f>
        <v>3194</v>
      </c>
      <c r="O46" s="1558">
        <f>'Эл-ты панельных ограждений - 1'!B44</f>
        <v>0</v>
      </c>
      <c r="P46" s="1561">
        <f>'Эл-ты панельных ограждений - 1'!C44</f>
        <v>0</v>
      </c>
      <c r="Q46" s="52">
        <f>'Эл-ты панельных ограждений - 1'!D44</f>
        <v>4</v>
      </c>
      <c r="R46" s="127">
        <f>'Эл-ты панельных ограждений - 1'!E44</f>
        <v>0</v>
      </c>
      <c r="S46" s="97" t="str">
        <f>'Эл-ты панельных ограждений - 1'!F44</f>
        <v>6 отверстий</v>
      </c>
      <c r="T46" s="59">
        <f>'Эл-ты панельных ограждений - 1'!G44</f>
        <v>15.53</v>
      </c>
      <c r="U46" s="1556">
        <f>'Эл-ты панельных ограждений - 1'!H44</f>
        <v>0</v>
      </c>
      <c r="V46" s="77">
        <f>'Эл-ты панельных ограждений - 1'!I44</f>
        <v>4379</v>
      </c>
      <c r="W46" s="370"/>
      <c r="X46" s="2"/>
      <c r="Y46" s="355"/>
      <c r="Z46" s="355"/>
      <c r="AB46" s="354"/>
      <c r="AC46" s="354"/>
    </row>
    <row r="47" spans="1:29" customFormat="1" ht="21.95" customHeight="1" x14ac:dyDescent="0.3">
      <c r="A47" s="1561"/>
      <c r="B47" s="52" t="s">
        <v>184</v>
      </c>
      <c r="C47" s="176">
        <v>3</v>
      </c>
      <c r="D47" s="181" t="s">
        <v>728</v>
      </c>
      <c r="E47" s="181"/>
      <c r="F47" s="175">
        <v>27.045000000000002</v>
      </c>
      <c r="G47" s="176">
        <v>50</v>
      </c>
      <c r="H47" s="710">
        <f t="shared" si="5"/>
        <v>5436</v>
      </c>
      <c r="I47" s="705">
        <f t="shared" si="6"/>
        <v>6274</v>
      </c>
      <c r="J47" s="614">
        <f t="shared" si="11"/>
        <v>201</v>
      </c>
      <c r="K47" s="614">
        <f t="shared" si="12"/>
        <v>232</v>
      </c>
      <c r="L47" s="405">
        <v>1</v>
      </c>
      <c r="M47" s="641">
        <f>IF(J47&gt;0,ROUND(((H47+V13+($V$50*C47))/2.5),0),"-")</f>
        <v>2940</v>
      </c>
      <c r="N47" s="642">
        <f>IF(J47&gt;0,ROUND(((I47+V34+($V$50*C47))/2.5),0),"-")</f>
        <v>3367</v>
      </c>
      <c r="O47" s="1558">
        <f>'Эл-ты панельных ограждений - 1'!B45</f>
        <v>0</v>
      </c>
      <c r="P47" s="1561">
        <f>'Эл-ты панельных ограждений - 1'!C45</f>
        <v>0</v>
      </c>
      <c r="Q47" s="52">
        <f>'Эл-ты панельных ограждений - 1'!D45</f>
        <v>4</v>
      </c>
      <c r="R47" s="127" t="str">
        <f>'Эл-ты панельных ограждений - 1'!E45</f>
        <v>№ 2</v>
      </c>
      <c r="S47" s="97" t="str">
        <f>'Эл-ты панельных ограждений - 1'!F45</f>
        <v>6 втулок</v>
      </c>
      <c r="T47" s="59">
        <f>'Эл-ты панельных ограждений - 1'!G45</f>
        <v>15.53</v>
      </c>
      <c r="U47" s="1556">
        <f>'Эл-ты панельных ограждений - 1'!H45</f>
        <v>0</v>
      </c>
      <c r="V47" s="77">
        <f>'Эл-ты панельных ограждений - 1'!I45</f>
        <v>4457</v>
      </c>
      <c r="W47" s="370"/>
      <c r="X47" s="2"/>
      <c r="Y47" s="355"/>
      <c r="Z47" s="355"/>
      <c r="AB47" s="354"/>
      <c r="AC47" s="354"/>
    </row>
    <row r="48" spans="1:29" customFormat="1" ht="21.95" customHeight="1" x14ac:dyDescent="0.3">
      <c r="A48" s="1561"/>
      <c r="B48" s="52" t="s">
        <v>194</v>
      </c>
      <c r="C48" s="186">
        <v>4</v>
      </c>
      <c r="D48" s="192" t="s">
        <v>728</v>
      </c>
      <c r="E48" s="192"/>
      <c r="F48" s="185">
        <v>29.29</v>
      </c>
      <c r="G48" s="186">
        <v>40</v>
      </c>
      <c r="H48" s="710">
        <f t="shared" si="5"/>
        <v>5887</v>
      </c>
      <c r="I48" s="705">
        <f t="shared" si="6"/>
        <v>6795</v>
      </c>
      <c r="J48" s="614">
        <f t="shared" si="11"/>
        <v>201</v>
      </c>
      <c r="K48" s="614">
        <f t="shared" si="12"/>
        <v>232</v>
      </c>
      <c r="L48" s="405">
        <v>1</v>
      </c>
      <c r="M48" s="641">
        <f>IF(J48&gt;0,ROUND(((H48+V15+($V$50*C48))/2.5),0),"-")</f>
        <v>3188</v>
      </c>
      <c r="N48" s="642">
        <f>IF(J48&gt;0,ROUND(((I48+V37+($V$50*C48))/2.5),0),"-")</f>
        <v>3646</v>
      </c>
      <c r="O48" s="1558">
        <f>'Эл-ты панельных ограждений - 1'!B46</f>
        <v>0</v>
      </c>
      <c r="P48" s="1561">
        <f>'Эл-ты панельных ограждений - 1'!C46</f>
        <v>0</v>
      </c>
      <c r="Q48" s="52">
        <f>'Эл-ты панельных ограждений - 1'!D46</f>
        <v>5</v>
      </c>
      <c r="R48" s="127">
        <f>'Эл-ты панельных ограждений - 1'!E46</f>
        <v>0</v>
      </c>
      <c r="S48" s="97" t="str">
        <f>'Эл-ты панельных ограждений - 1'!F46</f>
        <v>8 отверстий</v>
      </c>
      <c r="T48" s="59">
        <f>'Эл-ты панельных ограждений - 1'!G46</f>
        <v>19.52</v>
      </c>
      <c r="U48" s="1556" t="str">
        <f>'Эл-ты панельных ограждений - 1'!H46</f>
        <v>64*</v>
      </c>
      <c r="V48" s="77">
        <f>'Эл-ты панельных ограждений - 1'!I46</f>
        <v>5505</v>
      </c>
      <c r="W48" s="370"/>
      <c r="X48" s="2"/>
      <c r="Y48" s="355"/>
      <c r="Z48" s="355"/>
      <c r="AB48" s="354"/>
      <c r="AC48" s="354"/>
    </row>
    <row r="49" spans="1:31" customFormat="1" ht="21.95" customHeight="1" x14ac:dyDescent="0.3">
      <c r="A49" s="1561"/>
      <c r="B49" s="52" t="s">
        <v>185</v>
      </c>
      <c r="C49" s="186">
        <v>4</v>
      </c>
      <c r="D49" s="192" t="s">
        <v>728</v>
      </c>
      <c r="E49" s="192"/>
      <c r="F49" s="185">
        <v>32.020000000000003</v>
      </c>
      <c r="G49" s="186">
        <v>50</v>
      </c>
      <c r="H49" s="710">
        <f t="shared" si="5"/>
        <v>6436</v>
      </c>
      <c r="I49" s="705">
        <f t="shared" si="6"/>
        <v>7429</v>
      </c>
      <c r="J49" s="614">
        <f t="shared" si="11"/>
        <v>201</v>
      </c>
      <c r="K49" s="614">
        <f t="shared" si="12"/>
        <v>232</v>
      </c>
      <c r="L49" s="405">
        <v>1</v>
      </c>
      <c r="M49" s="641">
        <f>IF(J49&gt;0,ROUND(((H49+V18+($V$50*C49))/2.5),0),"-")</f>
        <v>3542</v>
      </c>
      <c r="N49" s="642">
        <f>IF(J49&gt;0,ROUND(((I49+V40+($V$50*C49))/2.5),0),"-")</f>
        <v>4052</v>
      </c>
      <c r="O49" s="1559">
        <f>'Эл-ты панельных ограждений - 1'!B47</f>
        <v>0</v>
      </c>
      <c r="P49" s="1562">
        <f>'Эл-ты панельных ограждений - 1'!C47</f>
        <v>0</v>
      </c>
      <c r="Q49" s="53">
        <f>'Эл-ты панельных ограждений - 1'!D47</f>
        <v>5</v>
      </c>
      <c r="R49" s="128" t="str">
        <f>'Эл-ты панельных ограждений - 1'!E47</f>
        <v>№ 2</v>
      </c>
      <c r="S49" s="98" t="str">
        <f>'Эл-ты панельных ограждений - 1'!F47</f>
        <v>8 втулок</v>
      </c>
      <c r="T49" s="74">
        <f>'Эл-ты панельных ограждений - 1'!G47</f>
        <v>19.52</v>
      </c>
      <c r="U49" s="1557">
        <f>'Эл-ты панельных ограждений - 1'!H47</f>
        <v>0</v>
      </c>
      <c r="V49" s="78">
        <f>'Эл-ты панельных ограждений - 1'!I47</f>
        <v>5602</v>
      </c>
      <c r="W49" s="370"/>
      <c r="X49" s="2"/>
      <c r="Y49" s="355"/>
      <c r="Z49" s="355"/>
      <c r="AB49" s="354"/>
      <c r="AC49" s="354"/>
    </row>
    <row r="50" spans="1:31" customFormat="1" ht="21.95" customHeight="1" x14ac:dyDescent="0.3">
      <c r="A50" s="1561"/>
      <c r="B50" s="52" t="s">
        <v>196</v>
      </c>
      <c r="C50" s="186">
        <v>4</v>
      </c>
      <c r="D50" s="192" t="s">
        <v>728</v>
      </c>
      <c r="E50" s="192"/>
      <c r="F50" s="185">
        <v>34.130000000000003</v>
      </c>
      <c r="G50" s="186">
        <v>40</v>
      </c>
      <c r="H50" s="710">
        <f t="shared" si="5"/>
        <v>6860</v>
      </c>
      <c r="I50" s="705">
        <f t="shared" si="6"/>
        <v>7918</v>
      </c>
      <c r="J50" s="614">
        <f t="shared" si="11"/>
        <v>201</v>
      </c>
      <c r="K50" s="614">
        <f t="shared" si="12"/>
        <v>232</v>
      </c>
      <c r="L50" s="405">
        <v>1</v>
      </c>
      <c r="M50" s="641">
        <f>IF(J50&gt;0,ROUND(((H50+V18+($V$50*C50))/2.5),0),"-")</f>
        <v>3711</v>
      </c>
      <c r="N50" s="642">
        <f>IF(J50&gt;0,ROUND(((I50+V40+($V$50*C50))/2.5),0),"-")</f>
        <v>4248</v>
      </c>
      <c r="O50" s="1604" t="s">
        <v>337</v>
      </c>
      <c r="P50" s="1605"/>
      <c r="Q50" s="64" t="s">
        <v>18</v>
      </c>
      <c r="R50" s="343" t="s">
        <v>380</v>
      </c>
      <c r="S50" s="342" t="s">
        <v>67</v>
      </c>
      <c r="T50" s="65">
        <v>0.05</v>
      </c>
      <c r="U50" s="47">
        <v>100</v>
      </c>
      <c r="V50" s="116">
        <f>'Эл-ты панельных ограждений - 1'!I48</f>
        <v>103</v>
      </c>
      <c r="W50" s="370"/>
      <c r="X50" s="2"/>
      <c r="Y50" s="355"/>
      <c r="Z50" s="355"/>
      <c r="AB50" s="354"/>
      <c r="AC50" s="354"/>
    </row>
    <row r="51" spans="1:31" customFormat="1" ht="21.95" customHeight="1" x14ac:dyDescent="0.3">
      <c r="A51" s="1561"/>
      <c r="B51" s="52" t="s">
        <v>186</v>
      </c>
      <c r="C51" s="186">
        <v>4</v>
      </c>
      <c r="D51" s="192" t="s">
        <v>728</v>
      </c>
      <c r="E51" s="192"/>
      <c r="F51" s="185">
        <v>36.11</v>
      </c>
      <c r="G51" s="186">
        <v>40</v>
      </c>
      <c r="H51" s="710">
        <f t="shared" si="5"/>
        <v>7258</v>
      </c>
      <c r="I51" s="705">
        <f t="shared" si="6"/>
        <v>8378</v>
      </c>
      <c r="J51" s="614">
        <f t="shared" si="11"/>
        <v>201</v>
      </c>
      <c r="K51" s="614">
        <f t="shared" si="12"/>
        <v>232</v>
      </c>
      <c r="L51" s="405">
        <v>1</v>
      </c>
      <c r="M51" s="641">
        <f>IF(J51&gt;0,ROUND(((H51+V19+($V$50*C51))/2.5),0),"-")</f>
        <v>4161</v>
      </c>
      <c r="N51" s="642">
        <f>IF(J51&gt;0,ROUND(((I51+V41+($V$50*C51))/2.5),0),"-")</f>
        <v>4764</v>
      </c>
      <c r="O51" s="163"/>
      <c r="P51" s="163"/>
      <c r="Q51" s="163"/>
      <c r="R51" s="164"/>
      <c r="S51" s="165"/>
      <c r="T51" s="164"/>
      <c r="U51" s="166"/>
      <c r="V51" s="350"/>
      <c r="W51" s="370"/>
      <c r="X51" s="2"/>
      <c r="Y51" s="355"/>
      <c r="Z51" s="355"/>
      <c r="AB51" s="354"/>
      <c r="AC51" s="354"/>
    </row>
    <row r="52" spans="1:31" customFormat="1" ht="21.95" customHeight="1" x14ac:dyDescent="0.3">
      <c r="A52" s="1561"/>
      <c r="B52" s="52" t="s">
        <v>187</v>
      </c>
      <c r="C52" s="186">
        <v>4</v>
      </c>
      <c r="D52" s="192" t="s">
        <v>728</v>
      </c>
      <c r="E52" s="192"/>
      <c r="F52" s="185">
        <v>38.51</v>
      </c>
      <c r="G52" s="186">
        <v>40</v>
      </c>
      <c r="H52" s="710">
        <f t="shared" si="5"/>
        <v>8050</v>
      </c>
      <c r="I52" s="705">
        <f t="shared" si="6"/>
        <v>9292</v>
      </c>
      <c r="J52" s="614">
        <f t="shared" si="11"/>
        <v>201</v>
      </c>
      <c r="K52" s="614">
        <f t="shared" si="12"/>
        <v>232</v>
      </c>
      <c r="L52" s="405">
        <v>1.04</v>
      </c>
      <c r="M52" s="641">
        <f>IF(J52&gt;0,ROUND(((H52+V19+($V$50*C52))/2.5),0),"-")</f>
        <v>4478</v>
      </c>
      <c r="N52" s="642">
        <f>IF(J52&gt;0,ROUND(((I52+V41+($V$50*C52))/2.5),0),"-")</f>
        <v>5129</v>
      </c>
      <c r="O52" s="163"/>
      <c r="P52" s="163"/>
      <c r="Q52" s="163"/>
      <c r="R52" s="164"/>
      <c r="S52" s="165"/>
      <c r="T52" s="164"/>
      <c r="U52" s="166"/>
      <c r="V52" s="350"/>
      <c r="W52" s="370"/>
      <c r="X52" s="2"/>
      <c r="Y52" s="355"/>
      <c r="Z52" s="355"/>
      <c r="AB52" s="354"/>
      <c r="AC52" s="354"/>
    </row>
    <row r="53" spans="1:31" customFormat="1" ht="21.95" customHeight="1" x14ac:dyDescent="0.3">
      <c r="A53" s="1561"/>
      <c r="B53" s="52" t="s">
        <v>188</v>
      </c>
      <c r="C53" s="176">
        <v>4</v>
      </c>
      <c r="D53" s="181" t="s">
        <v>728</v>
      </c>
      <c r="E53" s="181"/>
      <c r="F53" s="175">
        <v>40.9</v>
      </c>
      <c r="G53" s="176">
        <v>40</v>
      </c>
      <c r="H53" s="710">
        <f t="shared" si="5"/>
        <v>8550</v>
      </c>
      <c r="I53" s="705">
        <f t="shared" si="6"/>
        <v>9868</v>
      </c>
      <c r="J53" s="614">
        <f t="shared" si="11"/>
        <v>201</v>
      </c>
      <c r="K53" s="614">
        <f t="shared" si="12"/>
        <v>232</v>
      </c>
      <c r="L53" s="405">
        <v>1.04</v>
      </c>
      <c r="M53" s="641">
        <f>IF(J53&gt;0,ROUND(((H53+V21+($V$50*C53))/2.5),0),"-")</f>
        <v>5150</v>
      </c>
      <c r="N53" s="642">
        <f>IF(J53&gt;0,ROUND(((I53+V47+($V$50*C53))/2.5),0),"-")</f>
        <v>5895</v>
      </c>
      <c r="O53" s="163"/>
      <c r="P53" s="163"/>
      <c r="Q53" s="163"/>
      <c r="R53" s="164"/>
      <c r="S53" s="165"/>
      <c r="T53" s="164"/>
      <c r="U53" s="166"/>
      <c r="V53" s="350"/>
      <c r="W53" s="370"/>
      <c r="X53" s="2"/>
      <c r="Y53" s="355"/>
      <c r="Z53" s="355"/>
      <c r="AB53" s="354"/>
      <c r="AC53" s="354"/>
    </row>
    <row r="54" spans="1:31" customFormat="1" ht="21.95" customHeight="1" x14ac:dyDescent="0.3">
      <c r="A54" s="1562"/>
      <c r="B54" s="53" t="s">
        <v>189</v>
      </c>
      <c r="C54" s="195">
        <v>5</v>
      </c>
      <c r="D54" s="196" t="s">
        <v>728</v>
      </c>
      <c r="E54" s="196"/>
      <c r="F54" s="197">
        <v>45.54</v>
      </c>
      <c r="G54" s="195">
        <v>40</v>
      </c>
      <c r="H54" s="712">
        <f t="shared" si="5"/>
        <v>9520</v>
      </c>
      <c r="I54" s="708">
        <f t="shared" si="6"/>
        <v>10988</v>
      </c>
      <c r="J54" s="616">
        <f t="shared" si="11"/>
        <v>201</v>
      </c>
      <c r="K54" s="616">
        <f t="shared" si="12"/>
        <v>232</v>
      </c>
      <c r="L54" s="407">
        <v>1.04</v>
      </c>
      <c r="M54" s="644">
        <f>IF(J54&gt;0,ROUND(((H54+V23+($V$50*C54))/2.5),0),"-")</f>
        <v>5982</v>
      </c>
      <c r="N54" s="645">
        <f>IF(J54&gt;0,ROUND(((I54+V47+($V$50*C54))/2.5),0),"-")</f>
        <v>6384</v>
      </c>
      <c r="O54" s="163"/>
      <c r="P54" s="163"/>
      <c r="Q54" s="163"/>
      <c r="R54" s="164"/>
      <c r="S54" s="165"/>
      <c r="T54" s="164"/>
      <c r="U54" s="166"/>
      <c r="V54" s="350"/>
      <c r="W54" s="370"/>
      <c r="X54" s="2"/>
      <c r="Y54" s="355"/>
      <c r="Z54" s="355"/>
      <c r="AB54" s="354"/>
      <c r="AC54" s="354"/>
    </row>
    <row r="55" spans="1:31" customFormat="1" ht="21.95" customHeight="1" x14ac:dyDescent="0.3">
      <c r="A55" s="160" t="s">
        <v>1334</v>
      </c>
      <c r="B55" s="448"/>
      <c r="C55" s="448"/>
      <c r="D55" s="448"/>
      <c r="E55" s="448"/>
      <c r="F55" s="1579" t="s">
        <v>1335</v>
      </c>
      <c r="G55" s="1579"/>
      <c r="H55" s="1579"/>
      <c r="I55" s="1579"/>
      <c r="J55" s="1579"/>
      <c r="K55" s="1579"/>
      <c r="L55" s="1579"/>
      <c r="M55" s="1579"/>
      <c r="N55" s="558"/>
      <c r="O55" s="163"/>
      <c r="P55" s="163"/>
      <c r="Q55" s="163"/>
      <c r="R55" s="164"/>
      <c r="S55" s="165"/>
      <c r="T55" s="164"/>
      <c r="U55" s="166"/>
      <c r="W55" s="4"/>
      <c r="X55" s="2"/>
      <c r="Y55" s="1"/>
      <c r="Z55" s="1"/>
      <c r="AA55" s="1"/>
      <c r="AB55" s="1"/>
      <c r="AC55" s="1"/>
      <c r="AD55" s="1"/>
      <c r="AE55" s="1"/>
    </row>
    <row r="56" spans="1:31" customFormat="1" ht="21.95" customHeight="1" x14ac:dyDescent="0.3">
      <c r="A56" s="5" t="s">
        <v>1336</v>
      </c>
      <c r="B56" s="41"/>
      <c r="C56" s="41"/>
      <c r="D56" s="41"/>
      <c r="E56" s="41"/>
      <c r="F56" s="1580"/>
      <c r="G56" s="1580"/>
      <c r="H56" s="1580"/>
      <c r="I56" s="1580"/>
      <c r="J56" s="1580"/>
      <c r="K56" s="1580"/>
      <c r="L56" s="1580"/>
      <c r="M56" s="1580"/>
      <c r="N56" s="1581" t="s">
        <v>1337</v>
      </c>
      <c r="O56" s="1592"/>
      <c r="P56" s="1592"/>
      <c r="Q56" s="1592"/>
      <c r="R56" s="1593"/>
      <c r="S56" s="1569"/>
      <c r="T56" s="1569"/>
      <c r="U56" s="1596"/>
      <c r="W56" s="4"/>
      <c r="X56" s="2"/>
      <c r="Y56" s="1"/>
      <c r="Z56" s="1"/>
      <c r="AA56" s="1"/>
      <c r="AB56" s="1"/>
      <c r="AC56" s="1"/>
      <c r="AD56" s="1"/>
      <c r="AE56" s="1"/>
    </row>
    <row r="57" spans="1:31" customFormat="1" ht="21.95" customHeight="1" x14ac:dyDescent="0.25">
      <c r="A57" s="154" t="s">
        <v>1338</v>
      </c>
      <c r="B57" s="41"/>
      <c r="C57" s="41"/>
      <c r="D57" s="41"/>
      <c r="E57" s="41"/>
      <c r="F57" s="1580"/>
      <c r="G57" s="1580"/>
      <c r="H57" s="1580"/>
      <c r="I57" s="1580"/>
      <c r="J57" s="1580"/>
      <c r="K57" s="1580"/>
      <c r="L57" s="1580"/>
      <c r="M57" s="1580"/>
      <c r="N57" s="1581"/>
      <c r="O57" s="1592"/>
      <c r="P57" s="1592"/>
      <c r="Q57" s="1592"/>
      <c r="R57" s="1593"/>
      <c r="S57" s="1569"/>
      <c r="T57" s="1569"/>
      <c r="U57" s="1596"/>
      <c r="W57" s="4"/>
      <c r="X57" s="2"/>
      <c r="Y57" s="1"/>
      <c r="Z57" s="1"/>
      <c r="AA57" s="1"/>
      <c r="AB57" s="1"/>
      <c r="AC57" s="1"/>
      <c r="AD57" s="1"/>
      <c r="AE57" s="1"/>
    </row>
    <row r="58" spans="1:31" customFormat="1" ht="21.95" customHeight="1" x14ac:dyDescent="0.25">
      <c r="A58" s="154" t="s">
        <v>1339</v>
      </c>
      <c r="B58" s="41"/>
      <c r="C58" s="41"/>
      <c r="D58" s="41"/>
      <c r="E58" s="41"/>
      <c r="F58" s="1580"/>
      <c r="G58" s="1580"/>
      <c r="H58" s="1580"/>
      <c r="I58" s="1580"/>
      <c r="J58" s="1580"/>
      <c r="K58" s="1580"/>
      <c r="L58" s="1580"/>
      <c r="M58" s="1580"/>
      <c r="N58" s="1581"/>
      <c r="O58" s="1592"/>
      <c r="P58" s="1592"/>
      <c r="Q58" s="1592"/>
      <c r="R58" s="1593"/>
      <c r="S58" s="1569"/>
      <c r="T58" s="1569"/>
      <c r="U58" s="1596"/>
      <c r="W58" s="4"/>
      <c r="X58" s="2"/>
    </row>
    <row r="59" spans="1:31" customFormat="1" ht="21.95" customHeight="1" x14ac:dyDescent="0.25">
      <c r="A59" s="162" t="s">
        <v>1340</v>
      </c>
      <c r="B59" s="41"/>
      <c r="C59" s="41"/>
      <c r="D59" s="41"/>
      <c r="E59" s="41"/>
      <c r="F59" s="1582" t="s">
        <v>1360</v>
      </c>
      <c r="G59" s="1582"/>
      <c r="H59" s="1582"/>
      <c r="I59" s="1582"/>
      <c r="J59" s="1582"/>
      <c r="K59" s="1582"/>
      <c r="L59" s="1582"/>
      <c r="M59" s="1582"/>
      <c r="N59" s="1582"/>
      <c r="O59" s="632"/>
      <c r="P59" s="632"/>
      <c r="Q59" s="632"/>
      <c r="R59" s="105"/>
      <c r="S59" s="630"/>
      <c r="T59" s="630"/>
      <c r="U59" s="631"/>
      <c r="W59" s="4"/>
      <c r="X59" s="2"/>
      <c r="Y59" s="1"/>
      <c r="Z59" s="1"/>
      <c r="AA59" s="1"/>
      <c r="AB59" s="1"/>
      <c r="AC59" s="1"/>
      <c r="AD59" s="1"/>
    </row>
    <row r="60" spans="1:31" customFormat="1" ht="21.95" customHeight="1" x14ac:dyDescent="0.25">
      <c r="A60" s="162" t="s">
        <v>1341</v>
      </c>
      <c r="B60" s="41"/>
      <c r="C60" s="41"/>
      <c r="D60" s="41"/>
      <c r="E60" s="41"/>
      <c r="F60" s="1582"/>
      <c r="G60" s="1582"/>
      <c r="H60" s="1582"/>
      <c r="I60" s="1582"/>
      <c r="J60" s="1582"/>
      <c r="K60" s="1582"/>
      <c r="L60" s="1582"/>
      <c r="M60" s="1582"/>
      <c r="N60" s="1582"/>
      <c r="O60" s="632"/>
      <c r="P60" s="632"/>
      <c r="Q60" s="632"/>
      <c r="R60" s="105"/>
      <c r="S60" s="630"/>
      <c r="T60" s="630"/>
      <c r="U60" s="631"/>
      <c r="W60" s="4"/>
      <c r="X60" s="2"/>
      <c r="Y60" s="1"/>
      <c r="Z60" s="1"/>
      <c r="AA60" s="1"/>
      <c r="AB60" s="1"/>
      <c r="AC60" s="1"/>
      <c r="AD60" s="1"/>
    </row>
    <row r="61" spans="1:31" customFormat="1" ht="21.95" customHeight="1" x14ac:dyDescent="0.25">
      <c r="A61" s="162"/>
      <c r="B61" s="41"/>
      <c r="C61" s="41"/>
      <c r="D61" s="41"/>
      <c r="E61" s="41"/>
      <c r="F61" s="1582"/>
      <c r="G61" s="1582"/>
      <c r="H61" s="1582"/>
      <c r="I61" s="1582"/>
      <c r="J61" s="1582"/>
      <c r="K61" s="1582"/>
      <c r="L61" s="1582"/>
      <c r="M61" s="1582"/>
      <c r="N61" s="1582"/>
      <c r="O61" s="632"/>
      <c r="P61" s="632"/>
      <c r="Q61" s="632"/>
      <c r="R61" s="105"/>
      <c r="S61" s="630"/>
      <c r="T61" s="630"/>
      <c r="U61" s="631"/>
      <c r="W61" s="4"/>
      <c r="X61" s="2"/>
      <c r="Y61" s="1"/>
      <c r="Z61" s="1"/>
      <c r="AA61" s="1"/>
      <c r="AB61" s="1"/>
      <c r="AC61" s="1"/>
      <c r="AD61" s="1"/>
    </row>
    <row r="62" spans="1:31" customFormat="1" ht="21.75" customHeight="1" x14ac:dyDescent="0.25">
      <c r="A62" s="162"/>
      <c r="B62" s="41"/>
      <c r="C62" s="41"/>
      <c r="D62" s="41"/>
      <c r="E62" s="41"/>
      <c r="F62" s="1582"/>
      <c r="G62" s="1582"/>
      <c r="H62" s="1582"/>
      <c r="I62" s="1582"/>
      <c r="J62" s="1582"/>
      <c r="K62" s="1582"/>
      <c r="L62" s="1582"/>
      <c r="M62" s="1582"/>
      <c r="N62" s="1582"/>
      <c r="O62" s="632"/>
      <c r="P62" s="632"/>
      <c r="Q62" s="632"/>
      <c r="R62" s="105"/>
      <c r="S62" s="630"/>
      <c r="T62" s="630"/>
      <c r="U62" s="631"/>
      <c r="W62" s="4"/>
      <c r="X62" s="2"/>
      <c r="Y62" s="1"/>
      <c r="Z62" s="1"/>
      <c r="AA62" s="1"/>
      <c r="AB62" s="1"/>
      <c r="AC62" s="1"/>
      <c r="AD62" s="1"/>
    </row>
    <row r="63" spans="1:31" customFormat="1" ht="45" customHeight="1" x14ac:dyDescent="0.25">
      <c r="A63" s="1582" t="s">
        <v>500</v>
      </c>
      <c r="B63" s="1582"/>
      <c r="C63" s="1582"/>
      <c r="D63" s="1582"/>
      <c r="E63" s="1582"/>
      <c r="F63" s="1583" t="s">
        <v>92</v>
      </c>
      <c r="G63" s="1583"/>
      <c r="H63" s="1583"/>
      <c r="I63" s="1583"/>
      <c r="J63" s="1583"/>
      <c r="K63" s="1583"/>
      <c r="L63" s="1583"/>
      <c r="M63" s="1583"/>
      <c r="N63" s="1"/>
      <c r="W63" s="4"/>
      <c r="X63" s="2"/>
    </row>
    <row r="64" spans="1:31" s="690" customFormat="1" ht="39.950000000000003" customHeight="1" x14ac:dyDescent="0.2">
      <c r="A64" s="1575" t="s">
        <v>524</v>
      </c>
      <c r="B64" s="1575"/>
      <c r="C64" s="1575"/>
      <c r="D64" s="1575"/>
      <c r="E64" s="1575"/>
      <c r="F64" s="1575"/>
      <c r="G64" s="1575"/>
      <c r="H64" s="1575"/>
      <c r="I64" s="1575"/>
      <c r="J64" s="1575"/>
      <c r="K64" s="1575"/>
      <c r="L64" s="1575"/>
      <c r="M64" s="1575"/>
      <c r="N64" s="1575"/>
      <c r="W64" s="691"/>
      <c r="X64" s="692"/>
    </row>
    <row r="65" spans="1:24" s="690" customFormat="1" ht="30" customHeight="1" x14ac:dyDescent="0.2">
      <c r="A65" s="743" t="s">
        <v>553</v>
      </c>
      <c r="B65" s="740"/>
      <c r="C65" s="740"/>
      <c r="D65" s="740"/>
      <c r="E65" s="740"/>
      <c r="F65" s="740"/>
      <c r="G65" s="740"/>
      <c r="H65" s="738"/>
      <c r="I65" s="738"/>
      <c r="J65" s="738"/>
      <c r="K65" s="738"/>
      <c r="L65" s="738"/>
      <c r="M65" s="738"/>
      <c r="N65" s="739"/>
      <c r="W65" s="691"/>
      <c r="X65" s="692"/>
    </row>
    <row r="66" spans="1:24" s="690" customFormat="1" ht="50.1" customHeight="1" x14ac:dyDescent="0.2">
      <c r="A66" s="1323" t="s">
        <v>554</v>
      </c>
      <c r="B66" s="1574"/>
      <c r="C66" s="1574"/>
      <c r="D66" s="1574"/>
      <c r="E66" s="1574"/>
      <c r="F66" s="1574"/>
      <c r="G66" s="1574"/>
      <c r="H66" s="1574"/>
      <c r="I66" s="1574"/>
      <c r="J66" s="1574"/>
      <c r="K66" s="1574"/>
      <c r="L66" s="1574"/>
      <c r="M66" s="1574"/>
      <c r="N66" s="1324"/>
      <c r="W66" s="691"/>
      <c r="X66" s="692"/>
    </row>
    <row r="67" spans="1:24" s="690" customFormat="1" ht="60" customHeight="1" x14ac:dyDescent="0.2">
      <c r="A67" s="1576" t="s">
        <v>555</v>
      </c>
      <c r="B67" s="1577"/>
      <c r="C67" s="1577"/>
      <c r="D67" s="1577"/>
      <c r="E67" s="1577"/>
      <c r="F67" s="1577"/>
      <c r="G67" s="1577"/>
      <c r="H67" s="1577"/>
      <c r="I67" s="1577"/>
      <c r="J67" s="1577"/>
      <c r="K67" s="1577"/>
      <c r="L67" s="1577"/>
      <c r="M67" s="1577"/>
      <c r="N67" s="1578"/>
      <c r="W67" s="691"/>
      <c r="X67" s="692"/>
    </row>
    <row r="68" spans="1:24" s="690" customFormat="1" ht="15" customHeight="1" x14ac:dyDescent="0.2">
      <c r="A68" s="745"/>
      <c r="B68" s="745"/>
      <c r="C68" s="745"/>
      <c r="D68" s="745"/>
      <c r="E68" s="745"/>
      <c r="F68" s="745"/>
      <c r="G68" s="745"/>
      <c r="H68" s="745"/>
      <c r="I68" s="745"/>
      <c r="J68" s="745"/>
      <c r="K68" s="745"/>
      <c r="L68" s="745"/>
      <c r="M68" s="745"/>
      <c r="N68" s="745"/>
      <c r="W68" s="691"/>
      <c r="X68" s="692"/>
    </row>
    <row r="69" spans="1:24" customFormat="1" ht="24.95" customHeight="1" x14ac:dyDescent="0.3">
      <c r="A69" s="621" t="s">
        <v>471</v>
      </c>
      <c r="B69" s="553"/>
      <c r="C69" s="425"/>
      <c r="D69" s="425"/>
      <c r="E69" s="425"/>
      <c r="F69" s="425"/>
      <c r="G69" s="425"/>
      <c r="H69" s="425"/>
      <c r="I69" s="425"/>
      <c r="J69" s="425"/>
      <c r="K69" s="425"/>
      <c r="L69" s="425"/>
      <c r="M69" s="1385" t="s">
        <v>450</v>
      </c>
      <c r="N69" s="1387"/>
      <c r="W69" s="4"/>
      <c r="X69" s="2"/>
    </row>
    <row r="70" spans="1:24" customFormat="1" ht="24.95" customHeight="1" x14ac:dyDescent="0.3">
      <c r="A70" s="622" t="s">
        <v>472</v>
      </c>
      <c r="B70" s="5"/>
      <c r="C70" s="5"/>
      <c r="D70" s="5"/>
      <c r="E70" s="5"/>
      <c r="F70" s="5"/>
      <c r="G70" s="5"/>
      <c r="H70" s="5"/>
      <c r="I70" s="161"/>
      <c r="J70" s="161"/>
      <c r="K70" s="161"/>
      <c r="L70" s="161"/>
      <c r="M70" s="1570"/>
      <c r="N70" s="1571"/>
      <c r="W70" s="4"/>
      <c r="X70" s="2"/>
    </row>
    <row r="71" spans="1:24" customFormat="1" ht="24.95" customHeight="1" x14ac:dyDescent="0.3">
      <c r="A71" s="622" t="s">
        <v>473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570"/>
      <c r="N71" s="1571"/>
      <c r="W71" s="4"/>
      <c r="X71" s="2"/>
    </row>
    <row r="72" spans="1:24" customFormat="1" ht="24.95" customHeight="1" x14ac:dyDescent="0.3">
      <c r="A72" s="623" t="s">
        <v>474</v>
      </c>
      <c r="B72" s="556"/>
      <c r="C72" s="556"/>
      <c r="D72" s="556"/>
      <c r="E72" s="556"/>
      <c r="F72" s="556"/>
      <c r="G72" s="556"/>
      <c r="H72" s="556"/>
      <c r="I72" s="556"/>
      <c r="J72" s="556"/>
      <c r="K72" s="556"/>
      <c r="L72" s="556"/>
      <c r="M72" s="1570"/>
      <c r="N72" s="1571"/>
      <c r="W72" s="4"/>
      <c r="X72" s="2"/>
    </row>
    <row r="73" spans="1:24" customFormat="1" ht="24.95" customHeight="1" x14ac:dyDescent="0.3">
      <c r="A73" s="622" t="s">
        <v>475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570"/>
      <c r="N73" s="1571"/>
      <c r="W73" s="4"/>
      <c r="X73" s="2"/>
    </row>
    <row r="74" spans="1:24" customFormat="1" ht="24.95" customHeight="1" x14ac:dyDescent="0.3">
      <c r="A74" s="622" t="s">
        <v>476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570"/>
      <c r="N74" s="1571"/>
      <c r="W74" s="4"/>
      <c r="X74" s="2"/>
    </row>
    <row r="75" spans="1:24" customFormat="1" ht="24.95" customHeight="1" x14ac:dyDescent="0.3">
      <c r="A75" s="622" t="s">
        <v>477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570"/>
      <c r="N75" s="1571"/>
      <c r="W75" s="4"/>
      <c r="X75" s="2"/>
    </row>
    <row r="76" spans="1:24" customFormat="1" ht="24.95" customHeight="1" x14ac:dyDescent="0.25">
      <c r="A76" s="624" t="s">
        <v>4</v>
      </c>
      <c r="B76" s="554"/>
      <c r="C76" s="554"/>
      <c r="D76" s="554"/>
      <c r="E76" s="554"/>
      <c r="F76" s="554"/>
      <c r="G76" s="554"/>
      <c r="H76" s="554"/>
      <c r="I76" s="554"/>
      <c r="J76" s="554"/>
      <c r="K76" s="554"/>
      <c r="L76" s="554"/>
      <c r="M76" s="1572"/>
      <c r="N76" s="1573"/>
      <c r="W76" s="4"/>
      <c r="X76" s="2"/>
    </row>
    <row r="77" spans="1:24" customFormat="1" ht="21.95" customHeight="1" x14ac:dyDescent="0.25">
      <c r="A77" s="1594" t="s">
        <v>64</v>
      </c>
      <c r="B77" s="1594"/>
      <c r="C77" s="1594"/>
      <c r="D77" s="1594"/>
      <c r="E77" s="1594"/>
      <c r="F77" s="1594"/>
      <c r="G77" s="1594"/>
      <c r="H77" s="1594"/>
      <c r="I77" s="1594"/>
      <c r="J77" s="625"/>
      <c r="K77" s="625"/>
      <c r="L77" s="625"/>
      <c r="M77" s="625"/>
      <c r="N77" s="625"/>
      <c r="W77" s="4"/>
      <c r="X77" s="2"/>
    </row>
    <row r="78" spans="1:24" customFormat="1" ht="21.9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"/>
      <c r="W78" s="4"/>
      <c r="X78" s="2"/>
    </row>
    <row r="79" spans="1:24" customFormat="1" ht="43.5" customHeight="1" x14ac:dyDescent="0.3">
      <c r="A79" s="75" t="s">
        <v>6</v>
      </c>
      <c r="B79" s="1589">
        <v>0</v>
      </c>
      <c r="C79" s="1590"/>
      <c r="D79" s="1590"/>
      <c r="E79" s="1590"/>
      <c r="F79" s="1591"/>
      <c r="G79" s="5"/>
      <c r="H79" s="5"/>
      <c r="I79" s="5"/>
      <c r="J79" s="5"/>
      <c r="K79" s="5"/>
      <c r="L79" s="5"/>
      <c r="M79" s="5"/>
      <c r="N79" s="1"/>
      <c r="W79" s="4"/>
      <c r="X79" s="2"/>
    </row>
    <row r="80" spans="1:24" customFormat="1" ht="21.9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"/>
      <c r="W80" s="4"/>
      <c r="X80" s="2"/>
    </row>
    <row r="81" spans="1:24" customFormat="1" ht="20.2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"/>
      <c r="W81" s="4"/>
      <c r="X81" s="2"/>
    </row>
    <row r="82" spans="1:24" customFormat="1" ht="21.9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"/>
      <c r="O82" s="57"/>
      <c r="W82" s="4"/>
      <c r="X82" s="2"/>
    </row>
    <row r="83" spans="1:24" customFormat="1" ht="21.9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"/>
      <c r="W83" s="4"/>
      <c r="X83" s="2"/>
    </row>
    <row r="84" spans="1:24" customFormat="1" ht="21.9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"/>
      <c r="W84" s="4"/>
      <c r="X84" s="2"/>
    </row>
    <row r="85" spans="1:24" customFormat="1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"/>
      <c r="W85" s="4"/>
      <c r="X85" s="2"/>
    </row>
    <row r="86" spans="1:24" customFormat="1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1"/>
      <c r="W86" s="4"/>
      <c r="X86" s="2"/>
    </row>
    <row r="87" spans="1:24" customFormat="1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"/>
      <c r="W87" s="4"/>
      <c r="X87" s="2"/>
    </row>
    <row r="88" spans="1:24" customFormat="1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1"/>
      <c r="W88" s="4"/>
      <c r="X88" s="2"/>
    </row>
    <row r="89" spans="1:24" customFormat="1" ht="21.9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W89" s="4"/>
      <c r="X89" s="2"/>
    </row>
    <row r="90" spans="1:24" customFormat="1" ht="21.9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W90" s="4"/>
      <c r="X90" s="2"/>
    </row>
    <row r="91" spans="1:24" customFormat="1" ht="21.9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W91" s="4"/>
      <c r="X91" s="2"/>
    </row>
    <row r="92" spans="1:24" customFormat="1" ht="21.9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W92" s="4"/>
      <c r="X92" s="2"/>
    </row>
    <row r="93" spans="1:24" customFormat="1" ht="24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W93" s="4"/>
      <c r="X93" s="2"/>
    </row>
    <row r="94" spans="1:24" customForma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W94" s="4"/>
      <c r="X94" s="2"/>
    </row>
    <row r="95" spans="1:24" customForma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W95" s="4"/>
      <c r="X95" s="2"/>
    </row>
    <row r="96" spans="1:24" customForma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W96" s="4"/>
      <c r="X96" s="2"/>
    </row>
    <row r="97" spans="1:24" customForma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W97" s="4"/>
      <c r="X97" s="2"/>
    </row>
    <row r="98" spans="1:24" customForma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W98" s="4"/>
      <c r="X98" s="2"/>
    </row>
    <row r="99" spans="1:24" customFormat="1" ht="28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W99" s="4"/>
      <c r="X99" s="2"/>
    </row>
    <row r="106" spans="1:24" ht="32.25" customHeight="1" x14ac:dyDescent="0.25"/>
    <row r="107" spans="1:24" ht="108.75" customHeight="1" x14ac:dyDescent="0.25"/>
    <row r="114" ht="106.5" customHeight="1" x14ac:dyDescent="0.25"/>
  </sheetData>
  <sheetProtection formatCells="0" formatColumns="0" formatRows="0" insertColumns="0" insertRows="0" insertHyperlinks="0" deleteColumns="0" deleteRows="0" sort="0" autoFilter="0" pivotTables="0"/>
  <mergeCells count="47">
    <mergeCell ref="T56:T58"/>
    <mergeCell ref="U56:U58"/>
    <mergeCell ref="E2:H2"/>
    <mergeCell ref="O3:P3"/>
    <mergeCell ref="J4:K4"/>
    <mergeCell ref="H3:I3"/>
    <mergeCell ref="M3:N3"/>
    <mergeCell ref="G3:G4"/>
    <mergeCell ref="J3:L3"/>
    <mergeCell ref="U4:U19"/>
    <mergeCell ref="U42:U43"/>
    <mergeCell ref="P44:P49"/>
    <mergeCell ref="O50:P50"/>
    <mergeCell ref="F3:F4"/>
    <mergeCell ref="E3:E4"/>
    <mergeCell ref="P4:P19"/>
    <mergeCell ref="B79:F79"/>
    <mergeCell ref="O56:Q58"/>
    <mergeCell ref="R56:R58"/>
    <mergeCell ref="A77:I77"/>
    <mergeCell ref="P42:P43"/>
    <mergeCell ref="A63:E63"/>
    <mergeCell ref="O4:O14"/>
    <mergeCell ref="A25:A36"/>
    <mergeCell ref="A5:A21"/>
    <mergeCell ref="A40:A54"/>
    <mergeCell ref="A3:A4"/>
    <mergeCell ref="B3:B4"/>
    <mergeCell ref="C3:C4"/>
    <mergeCell ref="D3:D4"/>
    <mergeCell ref="S56:S58"/>
    <mergeCell ref="M69:N76"/>
    <mergeCell ref="A66:N66"/>
    <mergeCell ref="A64:N64"/>
    <mergeCell ref="A67:N67"/>
    <mergeCell ref="F55:M58"/>
    <mergeCell ref="N56:N58"/>
    <mergeCell ref="F59:N62"/>
    <mergeCell ref="F63:M63"/>
    <mergeCell ref="U44:U49"/>
    <mergeCell ref="O17:O23"/>
    <mergeCell ref="P20:P23"/>
    <mergeCell ref="U20:U23"/>
    <mergeCell ref="O24:O39"/>
    <mergeCell ref="P24:P41"/>
    <mergeCell ref="U24:U41"/>
    <mergeCell ref="O41:O49"/>
  </mergeCells>
  <conditionalFormatting sqref="A55:A62">
    <cfRule type="cellIs" dxfId="15" priority="1" operator="equal">
      <formula>0</formula>
    </cfRule>
  </conditionalFormatting>
  <conditionalFormatting sqref="H1 I2 H70 H71:I72 H74:I75 H78:I65543">
    <cfRule type="cellIs" dxfId="14" priority="30" operator="equal">
      <formula>0</formula>
    </cfRule>
  </conditionalFormatting>
  <conditionalFormatting sqref="H3:I39">
    <cfRule type="cellIs" dxfId="13" priority="17" operator="equal">
      <formula>0</formula>
    </cfRule>
  </conditionalFormatting>
  <conditionalFormatting sqref="I40:I54">
    <cfRule type="cellIs" dxfId="12" priority="28" operator="equal">
      <formula>0</formula>
    </cfRule>
  </conditionalFormatting>
  <printOptions horizontalCentered="1"/>
  <pageMargins left="3.937007874015748E-2" right="3.937007874015748E-2" top="3.937007874015748E-2" bottom="3.937007874015748E-2" header="0.31496062992125984" footer="0.31496062992125984"/>
  <pageSetup paperSize="9" scale="41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C00000"/>
    <pageSetUpPr fitToPage="1"/>
  </sheetPr>
  <dimension ref="A1:AI98"/>
  <sheetViews>
    <sheetView showGridLines="0" zoomScale="55" zoomScaleNormal="55" zoomScaleSheetLayoutView="55" zoomScalePageLayoutView="40" workbookViewId="0">
      <selection activeCell="M2" sqref="M2"/>
    </sheetView>
  </sheetViews>
  <sheetFormatPr defaultRowHeight="15" x14ac:dyDescent="0.2"/>
  <cols>
    <col min="1" max="1" width="50.7109375" style="1" customWidth="1"/>
    <col min="2" max="2" width="18.7109375" style="1" customWidth="1"/>
    <col min="3" max="3" width="14.7109375" style="1" customWidth="1"/>
    <col min="4" max="4" width="17.42578125" style="1" customWidth="1"/>
    <col min="5" max="5" width="19.7109375" style="1" customWidth="1"/>
    <col min="6" max="6" width="17.42578125" style="1" customWidth="1"/>
    <col min="7" max="8" width="16.7109375" style="1" customWidth="1"/>
    <col min="9" max="11" width="16.7109375" style="1" hidden="1" customWidth="1"/>
    <col min="12" max="13" width="29.7109375" style="1" customWidth="1"/>
    <col min="14" max="15" width="29.7109375" style="1" hidden="1" customWidth="1"/>
    <col min="16" max="16" width="27.140625" style="1" hidden="1" customWidth="1"/>
    <col min="17" max="21" width="19.5703125" style="1" hidden="1" customWidth="1"/>
    <col min="22" max="22" width="18.28515625" style="1" hidden="1" customWidth="1"/>
    <col min="23" max="23" width="18.7109375" style="2" hidden="1" customWidth="1"/>
    <col min="24" max="25" width="16.42578125" style="1" customWidth="1"/>
    <col min="26" max="26" width="10.28515625" style="1" bestFit="1" customWidth="1"/>
    <col min="27" max="27" width="12.85546875" style="1" bestFit="1" customWidth="1"/>
    <col min="28" max="29" width="10.42578125" style="1" customWidth="1"/>
    <col min="30" max="30" width="9.140625" style="1"/>
    <col min="31" max="32" width="11.28515625" style="2" customWidth="1"/>
    <col min="33" max="16384" width="9.140625" style="1"/>
  </cols>
  <sheetData>
    <row r="1" spans="1:35" ht="75.75" customHeight="1" x14ac:dyDescent="0.4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35" customFormat="1" ht="33" customHeight="1" x14ac:dyDescent="0.35">
      <c r="A2" s="23"/>
      <c r="B2" s="23"/>
      <c r="C2" s="1"/>
      <c r="D2" s="1312" t="s">
        <v>199</v>
      </c>
      <c r="E2" s="1312"/>
      <c r="F2" s="1312"/>
      <c r="G2" s="1312"/>
      <c r="H2" s="138"/>
      <c r="I2" s="422"/>
      <c r="J2" s="55"/>
      <c r="K2" s="55"/>
      <c r="L2" s="92" t="s">
        <v>132</v>
      </c>
      <c r="M2" s="348">
        <f>'Панельные ограждения GL (стр.1)'!N2</f>
        <v>46197</v>
      </c>
      <c r="N2" s="348"/>
      <c r="O2" s="348"/>
      <c r="P2" s="348"/>
      <c r="W2" s="2"/>
      <c r="AE2" s="2"/>
      <c r="AF2" s="2"/>
    </row>
    <row r="3" spans="1:35" customFormat="1" ht="110.1" customHeight="1" x14ac:dyDescent="0.2">
      <c r="A3" s="1584" t="s">
        <v>71</v>
      </c>
      <c r="B3" s="1586" t="s">
        <v>197</v>
      </c>
      <c r="C3" s="1586" t="s">
        <v>78</v>
      </c>
      <c r="D3" s="1606" t="s">
        <v>179</v>
      </c>
      <c r="E3" s="1587" t="s">
        <v>317</v>
      </c>
      <c r="F3" s="1587" t="s">
        <v>80</v>
      </c>
      <c r="G3" s="1599" t="s">
        <v>352</v>
      </c>
      <c r="H3" s="1600"/>
      <c r="I3" s="1586" t="s">
        <v>10</v>
      </c>
      <c r="J3" s="1586"/>
      <c r="K3" s="1586"/>
      <c r="L3" s="1601" t="s">
        <v>176</v>
      </c>
      <c r="M3" s="1602"/>
      <c r="N3" s="694"/>
      <c r="O3" s="698"/>
      <c r="P3" s="455"/>
      <c r="Q3" s="227" t="str">
        <f>'Эл-ты панельных ограждений - 1'!D3</f>
        <v>Высота/ Ширина,м</v>
      </c>
      <c r="R3" s="227" t="str">
        <f>'Эл-ты панельных ограждений - 1'!E3</f>
        <v>примечание, №</v>
      </c>
      <c r="S3" s="227" t="str">
        <f>'Эл-ты панельных ограждений - 1'!F3</f>
        <v>Кол-во отверстий, шт.</v>
      </c>
      <c r="T3" s="227" t="str">
        <f>'Эл-ты панельных ограждений - 1'!G3</f>
        <v>Вес, кг/шт.</v>
      </c>
      <c r="U3" s="227" t="str">
        <f>'Эл-ты панельных ограждений - 1'!H3</f>
        <v>Кол-во в упаковке, шт.</v>
      </c>
      <c r="V3" s="227" t="str">
        <f>'Эл-ты панельных ограждений - 1'!I3</f>
        <v>Розничная цена, руб/шт</v>
      </c>
      <c r="W3" s="2"/>
      <c r="AE3" s="2"/>
      <c r="AF3" s="2"/>
    </row>
    <row r="4" spans="1:35" customFormat="1" ht="27" customHeight="1" x14ac:dyDescent="0.2">
      <c r="A4" s="1585"/>
      <c r="B4" s="1586"/>
      <c r="C4" s="1586"/>
      <c r="D4" s="1607"/>
      <c r="E4" s="1588"/>
      <c r="F4" s="1588"/>
      <c r="G4" s="228" t="s">
        <v>177</v>
      </c>
      <c r="H4" s="228" t="s">
        <v>178</v>
      </c>
      <c r="I4" s="1586" t="s">
        <v>361</v>
      </c>
      <c r="J4" s="1586"/>
      <c r="K4" s="224" t="s">
        <v>362</v>
      </c>
      <c r="L4" s="229" t="s">
        <v>177</v>
      </c>
      <c r="M4" s="229" t="s">
        <v>178</v>
      </c>
      <c r="N4" s="695"/>
      <c r="O4" s="1612" t="str">
        <f>'Эл-ты панельных ограждений - 1'!B4</f>
        <v>Столб оцинкованный
с отверстиями или резьбовыми втулками 
в профиле 62х55, 90х55 и заглушкой</v>
      </c>
      <c r="P4" s="1609" t="str">
        <f>'Эл-ты панельных ограждений - 1'!C4</f>
        <v>62х55х1,4</v>
      </c>
      <c r="Q4" s="454">
        <f>'Эл-ты панельных ограждений - 1'!D4</f>
        <v>1.1000000000000001</v>
      </c>
      <c r="R4" s="688"/>
      <c r="S4" s="688">
        <f>'Эл-ты панельных ограждений - 1'!F4</f>
        <v>2</v>
      </c>
      <c r="T4" s="454">
        <f>'Эл-ты панельных ограждений - 1'!G4</f>
        <v>2.9810000000000003</v>
      </c>
      <c r="U4" s="1617">
        <f>'Эл-ты панельных ограждений - 1'!H4</f>
        <v>96</v>
      </c>
      <c r="V4" s="453">
        <f>'Эл-ты панельных ограждений - 1'!I4</f>
        <v>817</v>
      </c>
      <c r="W4" s="2"/>
      <c r="AE4" s="2"/>
      <c r="AF4" s="2"/>
    </row>
    <row r="5" spans="1:35" customFormat="1" ht="21.95" customHeight="1" x14ac:dyDescent="0.25">
      <c r="A5" s="1560" t="s">
        <v>295</v>
      </c>
      <c r="B5" s="169" t="s">
        <v>190</v>
      </c>
      <c r="C5" s="182" t="s">
        <v>18</v>
      </c>
      <c r="D5" s="183" t="s">
        <v>270</v>
      </c>
      <c r="E5" s="172">
        <v>12.96</v>
      </c>
      <c r="F5" s="173">
        <v>50</v>
      </c>
      <c r="G5" s="702">
        <f t="shared" ref="G5:G30" si="0">IF(I5&gt;0,ROUND(I5*K5*E5*BelarusV_LFzn*(1-$B$55),0),"-")</f>
        <v>3065</v>
      </c>
      <c r="H5" s="703">
        <f t="shared" ref="H5:H30" si="1">IF(J5&gt;0,ROUND(J5*K5*E5*BelarusV_LFpe*(1-$B$55),0),"-")</f>
        <v>3373</v>
      </c>
      <c r="I5" s="615">
        <v>219</v>
      </c>
      <c r="J5" s="615">
        <v>241</v>
      </c>
      <c r="K5" s="404">
        <v>1.08</v>
      </c>
      <c r="L5" s="639">
        <f>IF(I5&gt;0,ROUND(((G5+$V6+($V$53*$S6))/2.5),0),"-")</f>
        <v>1754</v>
      </c>
      <c r="M5" s="640">
        <f>IF(J5&gt;0,ROUND(((H5+$V25+($V$53*$S25))/2.5),0),"-")</f>
        <v>1940</v>
      </c>
      <c r="N5" s="696"/>
      <c r="O5" s="1613"/>
      <c r="P5" s="1610"/>
      <c r="Q5" s="454">
        <f>'Эл-ты панельных ограждений - 1'!D5</f>
        <v>1.3</v>
      </c>
      <c r="R5" s="688"/>
      <c r="S5" s="688">
        <f>'Эл-ты панельных ограждений - 1'!F5</f>
        <v>2</v>
      </c>
      <c r="T5" s="454">
        <f>'Эл-ты панельных ограждений - 1'!G5</f>
        <v>3.5230000000000001</v>
      </c>
      <c r="U5" s="1618"/>
      <c r="V5" s="453">
        <f>'Эл-ты панельных ограждений - 1'!I5</f>
        <v>966</v>
      </c>
      <c r="W5" s="421"/>
      <c r="X5" s="349"/>
      <c r="Y5" s="349"/>
      <c r="Z5" s="354"/>
      <c r="AA5" s="410"/>
      <c r="AB5" s="410"/>
      <c r="AC5" s="351"/>
      <c r="AE5" s="353"/>
      <c r="AF5" s="353"/>
      <c r="AH5" s="354"/>
      <c r="AI5" s="354"/>
    </row>
    <row r="6" spans="1:35" customFormat="1" ht="21.95" customHeight="1" x14ac:dyDescent="0.25">
      <c r="A6" s="1561"/>
      <c r="B6" s="52" t="s">
        <v>182</v>
      </c>
      <c r="C6" s="170" t="s">
        <v>18</v>
      </c>
      <c r="D6" s="174"/>
      <c r="E6" s="175">
        <v>15.3</v>
      </c>
      <c r="F6" s="176">
        <v>50</v>
      </c>
      <c r="G6" s="704">
        <f t="shared" si="0"/>
        <v>3619</v>
      </c>
      <c r="H6" s="705">
        <f t="shared" si="1"/>
        <v>3982</v>
      </c>
      <c r="I6" s="614">
        <f>$I$5</f>
        <v>219</v>
      </c>
      <c r="J6" s="614">
        <f>$J$5</f>
        <v>241</v>
      </c>
      <c r="K6" s="405">
        <v>1.08</v>
      </c>
      <c r="L6" s="641">
        <f>IF(I6&gt;0,ROUND(((G6+$V7+($V$53*$S7))/2.5),0),"-")</f>
        <v>2034</v>
      </c>
      <c r="M6" s="642">
        <f>IF(J6&gt;0,ROUND(((H6+$V26+($V$53*$S26))/2.5),0),"-")</f>
        <v>2251</v>
      </c>
      <c r="N6" s="696"/>
      <c r="O6" s="1613"/>
      <c r="P6" s="1610"/>
      <c r="Q6" s="454">
        <f>'Эл-ты панельных ограждений - 1'!D6</f>
        <v>1.5</v>
      </c>
      <c r="R6" s="688"/>
      <c r="S6" s="688">
        <f>'Эл-ты панельных ограждений - 1'!F6</f>
        <v>2</v>
      </c>
      <c r="T6" s="454">
        <f>'Эл-ты панельных ограждений - 1'!G6</f>
        <v>4.0599999999999996</v>
      </c>
      <c r="U6" s="1618"/>
      <c r="V6" s="453">
        <f>'Эл-ты панельных ограждений - 1'!I6</f>
        <v>1113</v>
      </c>
      <c r="W6" s="354"/>
      <c r="X6" s="349"/>
      <c r="Y6" s="382"/>
      <c r="Z6" s="354"/>
      <c r="AA6" s="410"/>
      <c r="AB6" s="410"/>
      <c r="AC6" s="351"/>
      <c r="AE6" s="353"/>
      <c r="AF6" s="353"/>
      <c r="AH6" s="354"/>
      <c r="AI6" s="354"/>
    </row>
    <row r="7" spans="1:35" customFormat="1" ht="21.95" customHeight="1" x14ac:dyDescent="0.25">
      <c r="A7" s="1561"/>
      <c r="B7" s="52" t="s">
        <v>183</v>
      </c>
      <c r="C7" s="170" t="s">
        <v>18</v>
      </c>
      <c r="D7" s="174"/>
      <c r="E7" s="175">
        <v>17.64</v>
      </c>
      <c r="F7" s="176">
        <v>50</v>
      </c>
      <c r="G7" s="704">
        <f t="shared" si="0"/>
        <v>4018</v>
      </c>
      <c r="H7" s="705">
        <f t="shared" si="1"/>
        <v>4421</v>
      </c>
      <c r="I7" s="614">
        <f t="shared" ref="I7:I17" si="2">$I$5</f>
        <v>219</v>
      </c>
      <c r="J7" s="614">
        <f t="shared" ref="J7:J17" si="3">$J$5</f>
        <v>241</v>
      </c>
      <c r="K7" s="405">
        <v>1.04</v>
      </c>
      <c r="L7" s="641">
        <f>IF(I7&gt;0,ROUND(((G7+$V8+($V$53*$S8))/2.5),0),"-")</f>
        <v>2254</v>
      </c>
      <c r="M7" s="642">
        <f>IF(J7&gt;0,ROUND(((H7+$V27+($V$53*$S27))/2.5),0),"-")</f>
        <v>2496</v>
      </c>
      <c r="N7" s="696"/>
      <c r="O7" s="1613"/>
      <c r="P7" s="1610"/>
      <c r="Q7" s="454">
        <f>'Эл-ты панельных ограждений - 1'!D7</f>
        <v>1.7</v>
      </c>
      <c r="R7" s="688"/>
      <c r="S7" s="688">
        <f>'Эл-ты панельных ограждений - 1'!F7</f>
        <v>2</v>
      </c>
      <c r="T7" s="454">
        <f>'Эл-ты панельных ограждений - 1'!G7</f>
        <v>4.5999999999999996</v>
      </c>
      <c r="U7" s="1618"/>
      <c r="V7" s="453">
        <f>'Эл-ты панельных ограждений - 1'!I7</f>
        <v>1261</v>
      </c>
      <c r="W7" s="354"/>
      <c r="X7" s="349"/>
      <c r="Y7" s="382"/>
      <c r="Z7" s="354"/>
      <c r="AA7" s="410"/>
      <c r="AB7" s="410"/>
      <c r="AC7" s="351"/>
      <c r="AE7" s="353"/>
      <c r="AF7" s="353"/>
      <c r="AH7" s="354"/>
      <c r="AI7" s="354"/>
    </row>
    <row r="8" spans="1:35" customFormat="1" ht="21.95" customHeight="1" x14ac:dyDescent="0.25">
      <c r="A8" s="1561"/>
      <c r="B8" s="52" t="s">
        <v>201</v>
      </c>
      <c r="C8" s="170" t="s">
        <v>18</v>
      </c>
      <c r="D8" s="174"/>
      <c r="E8" s="175">
        <v>19.989999999999998</v>
      </c>
      <c r="F8" s="176">
        <v>50</v>
      </c>
      <c r="G8" s="704">
        <f t="shared" si="0"/>
        <v>4553</v>
      </c>
      <c r="H8" s="705">
        <f t="shared" si="1"/>
        <v>5010</v>
      </c>
      <c r="I8" s="614">
        <f t="shared" si="2"/>
        <v>219</v>
      </c>
      <c r="J8" s="614">
        <f t="shared" si="3"/>
        <v>241</v>
      </c>
      <c r="K8" s="405">
        <v>1.04</v>
      </c>
      <c r="L8" s="641">
        <f>IF(I8&gt;0,ROUND(((G8+$V9+($V$53*$S9))/2.5),0),"-")</f>
        <v>2480</v>
      </c>
      <c r="M8" s="642">
        <f>IF(J8&gt;0,ROUND(((H8+$V29+($V$53*$S29))/2.5),0),"-")</f>
        <v>2739</v>
      </c>
      <c r="N8" s="696"/>
      <c r="O8" s="1613"/>
      <c r="P8" s="1610"/>
      <c r="Q8" s="454">
        <f>'Эл-ты панельных ограждений - 1'!D8</f>
        <v>1.9</v>
      </c>
      <c r="R8" s="688"/>
      <c r="S8" s="688">
        <f>'Эл-ты панельных ограждений - 1'!F8</f>
        <v>2</v>
      </c>
      <c r="T8" s="454">
        <f>'Эл-ты панельных ограждений - 1'!G8</f>
        <v>5.149</v>
      </c>
      <c r="U8" s="1618"/>
      <c r="V8" s="453">
        <f>'Эл-ты панельных ограждений - 1'!I8</f>
        <v>1412</v>
      </c>
      <c r="W8" s="354"/>
      <c r="X8" s="349"/>
      <c r="Y8" s="382"/>
      <c r="Z8" s="354"/>
      <c r="AA8" s="410"/>
      <c r="AB8" s="410"/>
      <c r="AC8" s="351"/>
      <c r="AE8" s="353"/>
      <c r="AF8" s="353"/>
      <c r="AH8" s="354"/>
      <c r="AI8" s="354"/>
    </row>
    <row r="9" spans="1:35" customFormat="1" ht="21.95" customHeight="1" x14ac:dyDescent="0.25">
      <c r="A9" s="1561"/>
      <c r="B9" s="52" t="s">
        <v>202</v>
      </c>
      <c r="C9" s="170" t="s">
        <v>18</v>
      </c>
      <c r="D9" s="174"/>
      <c r="E9" s="175">
        <v>22.33</v>
      </c>
      <c r="F9" s="176">
        <v>50</v>
      </c>
      <c r="G9" s="704">
        <f t="shared" si="0"/>
        <v>4890</v>
      </c>
      <c r="H9" s="705">
        <f t="shared" si="1"/>
        <v>5382</v>
      </c>
      <c r="I9" s="614">
        <f t="shared" si="2"/>
        <v>219</v>
      </c>
      <c r="J9" s="614">
        <f t="shared" si="3"/>
        <v>241</v>
      </c>
      <c r="K9" s="405">
        <v>1</v>
      </c>
      <c r="L9" s="641">
        <f>IF(I9&gt;0,ROUND(((G9+$V10+($V$53*$S10))/2.5),0),"-")</f>
        <v>2670</v>
      </c>
      <c r="M9" s="642">
        <f>IF(J9&gt;0,ROUND(((H9+$V30+($V$53*$S30))/2.5),0),"-")</f>
        <v>2951</v>
      </c>
      <c r="N9" s="696"/>
      <c r="O9" s="1613"/>
      <c r="P9" s="1610"/>
      <c r="Q9" s="454">
        <f>'Эл-ты панельных ограждений - 1'!D9</f>
        <v>2</v>
      </c>
      <c r="R9" s="688"/>
      <c r="S9" s="688">
        <f>'Эл-ты панельных ограждений - 1'!F9</f>
        <v>3</v>
      </c>
      <c r="T9" s="454">
        <f>'Эл-ты панельных ограждений - 1'!G9</f>
        <v>5.42</v>
      </c>
      <c r="U9" s="1618"/>
      <c r="V9" s="453">
        <f>'Эл-ты панельных ограждений - 1'!I9</f>
        <v>1339</v>
      </c>
      <c r="W9" s="354"/>
      <c r="X9" s="349"/>
      <c r="Y9" s="382"/>
      <c r="Z9" s="354"/>
      <c r="AA9" s="410"/>
      <c r="AB9" s="410"/>
      <c r="AC9" s="351"/>
      <c r="AE9" s="353"/>
      <c r="AF9" s="353"/>
      <c r="AH9" s="354"/>
      <c r="AI9" s="354"/>
    </row>
    <row r="10" spans="1:35" customFormat="1" ht="21.95" customHeight="1" x14ac:dyDescent="0.25">
      <c r="A10" s="1561"/>
      <c r="B10" s="52" t="s">
        <v>194</v>
      </c>
      <c r="C10" s="170" t="s">
        <v>18</v>
      </c>
      <c r="D10" s="174" t="s">
        <v>270</v>
      </c>
      <c r="E10" s="175">
        <v>24.68</v>
      </c>
      <c r="F10" s="176">
        <v>40</v>
      </c>
      <c r="G10" s="704">
        <f t="shared" si="0"/>
        <v>5405</v>
      </c>
      <c r="H10" s="705">
        <f t="shared" si="1"/>
        <v>5948</v>
      </c>
      <c r="I10" s="614">
        <f t="shared" si="2"/>
        <v>219</v>
      </c>
      <c r="J10" s="614">
        <f t="shared" si="3"/>
        <v>241</v>
      </c>
      <c r="K10" s="405">
        <v>1</v>
      </c>
      <c r="L10" s="641">
        <f>IF(I10&gt;0,ROUND(((G10+$V13+($V$53*$S13))/2.5),0),"-")</f>
        <v>3037</v>
      </c>
      <c r="M10" s="642">
        <f>IF(J10&gt;0,ROUND(((H10+$V34+($V$53*$S34))/2.5),0),"-")</f>
        <v>3349</v>
      </c>
      <c r="N10" s="696"/>
      <c r="O10" s="1613"/>
      <c r="P10" s="1610"/>
      <c r="Q10" s="454">
        <f>'Эл-ты панельных ограждений - 1'!D10</f>
        <v>2.2000000000000002</v>
      </c>
      <c r="R10" s="688"/>
      <c r="S10" s="688">
        <f>'Эл-ты панельных ограждений - 1'!F10</f>
        <v>3</v>
      </c>
      <c r="T10" s="454">
        <f>'Эл-ты панельных ограждений - 1'!G10</f>
        <v>5.98</v>
      </c>
      <c r="U10" s="1618"/>
      <c r="V10" s="453">
        <f>'Эл-ты панельных ограждений - 1'!I10</f>
        <v>1477</v>
      </c>
      <c r="W10" s="354"/>
      <c r="X10" s="349"/>
      <c r="Y10" s="382"/>
      <c r="Z10" s="354"/>
      <c r="AA10" s="410"/>
      <c r="AB10" s="410"/>
      <c r="AC10" s="351"/>
      <c r="AE10" s="353"/>
      <c r="AF10" s="353"/>
      <c r="AH10" s="354"/>
      <c r="AI10" s="354"/>
    </row>
    <row r="11" spans="1:35" customFormat="1" ht="21.95" customHeight="1" x14ac:dyDescent="0.25">
      <c r="A11" s="1561"/>
      <c r="B11" s="52" t="s">
        <v>185</v>
      </c>
      <c r="C11" s="170" t="s">
        <v>18</v>
      </c>
      <c r="D11" s="174"/>
      <c r="E11" s="175">
        <v>27.9</v>
      </c>
      <c r="F11" s="176">
        <v>40</v>
      </c>
      <c r="G11" s="704">
        <f t="shared" si="0"/>
        <v>6110</v>
      </c>
      <c r="H11" s="705">
        <f t="shared" si="1"/>
        <v>6724</v>
      </c>
      <c r="I11" s="614">
        <f t="shared" si="2"/>
        <v>219</v>
      </c>
      <c r="J11" s="614">
        <f t="shared" si="3"/>
        <v>241</v>
      </c>
      <c r="K11" s="405">
        <v>1</v>
      </c>
      <c r="L11" s="641">
        <f>IF(I11&gt;0,ROUND(((G11+$V15+($V$53*$S15))/2.5),0),"-")</f>
        <v>3452</v>
      </c>
      <c r="M11" s="642">
        <f>IF(J11&gt;0,ROUND(((H11+$V37+($V$53*$S37))/2.5),0),"-")</f>
        <v>3812</v>
      </c>
      <c r="N11" s="696"/>
      <c r="O11" s="1613"/>
      <c r="P11" s="1610"/>
      <c r="Q11" s="454">
        <f>'Эл-ты панельных ограждений - 1'!D11</f>
        <v>2.4</v>
      </c>
      <c r="R11" s="688"/>
      <c r="S11" s="688">
        <f>'Эл-ты панельных ограждений - 1'!F11</f>
        <v>3</v>
      </c>
      <c r="T11" s="454">
        <f>'Эл-ты панельных ограждений - 1'!G11</f>
        <v>6.5039999999999996</v>
      </c>
      <c r="U11" s="1618"/>
      <c r="V11" s="453">
        <f>'Эл-ты панельных ограждений - 1'!I11</f>
        <v>1606</v>
      </c>
      <c r="W11" s="354"/>
      <c r="X11" s="349"/>
      <c r="Y11" s="382"/>
      <c r="Z11" s="354"/>
      <c r="AA11" s="410"/>
      <c r="AB11" s="410"/>
      <c r="AC11" s="351"/>
      <c r="AE11" s="353"/>
      <c r="AF11" s="353"/>
      <c r="AH11" s="354"/>
      <c r="AI11" s="354"/>
    </row>
    <row r="12" spans="1:35" customFormat="1" ht="21.95" customHeight="1" x14ac:dyDescent="0.25">
      <c r="A12" s="1561"/>
      <c r="B12" s="52" t="s">
        <v>196</v>
      </c>
      <c r="C12" s="170" t="s">
        <v>18</v>
      </c>
      <c r="D12" s="174"/>
      <c r="E12" s="175">
        <v>29.37</v>
      </c>
      <c r="F12" s="176">
        <v>40</v>
      </c>
      <c r="G12" s="704">
        <f t="shared" si="0"/>
        <v>6432</v>
      </c>
      <c r="H12" s="705">
        <f t="shared" si="1"/>
        <v>7078</v>
      </c>
      <c r="I12" s="614">
        <f t="shared" si="2"/>
        <v>219</v>
      </c>
      <c r="J12" s="614">
        <f t="shared" si="3"/>
        <v>241</v>
      </c>
      <c r="K12" s="405">
        <v>1</v>
      </c>
      <c r="L12" s="641">
        <f>IF(I12&gt;0,ROUND(((G12+$V15+($V$53*$S15))/2.5),0),"-")</f>
        <v>3581</v>
      </c>
      <c r="M12" s="642">
        <f>IF(J12&gt;0,ROUND(((H12+$V37+($V$53*$S37))/2.5),0),"-")</f>
        <v>3953</v>
      </c>
      <c r="N12" s="696"/>
      <c r="O12" s="1613"/>
      <c r="P12" s="1610"/>
      <c r="Q12" s="454">
        <f>'Эл-ты панельных ограждений - 1'!D12</f>
        <v>2.5</v>
      </c>
      <c r="R12" s="688"/>
      <c r="S12" s="688">
        <f>'Эл-ты панельных ограждений - 1'!F12</f>
        <v>4</v>
      </c>
      <c r="T12" s="454">
        <f>'Эл-ты панельных ограждений - 1'!G12</f>
        <v>6.79</v>
      </c>
      <c r="U12" s="1618"/>
      <c r="V12" s="453">
        <f>'Эл-ты панельных ограждений - 1'!I12</f>
        <v>1677</v>
      </c>
      <c r="W12" s="354"/>
      <c r="X12" s="349"/>
      <c r="Y12" s="382"/>
      <c r="Z12" s="354"/>
      <c r="AA12" s="410"/>
      <c r="AB12" s="410"/>
      <c r="AC12" s="351"/>
      <c r="AE12" s="353"/>
      <c r="AF12" s="353"/>
      <c r="AH12" s="354"/>
      <c r="AI12" s="354"/>
    </row>
    <row r="13" spans="1:35" customFormat="1" ht="21.95" customHeight="1" x14ac:dyDescent="0.25">
      <c r="A13" s="1561"/>
      <c r="B13" s="52" t="s">
        <v>186</v>
      </c>
      <c r="C13" s="170" t="s">
        <v>18</v>
      </c>
      <c r="D13" s="174"/>
      <c r="E13" s="175">
        <v>30.32</v>
      </c>
      <c r="F13" s="176">
        <v>40</v>
      </c>
      <c r="G13" s="704">
        <f t="shared" si="0"/>
        <v>6640</v>
      </c>
      <c r="H13" s="705">
        <f t="shared" si="1"/>
        <v>7307</v>
      </c>
      <c r="I13" s="614">
        <f t="shared" si="2"/>
        <v>219</v>
      </c>
      <c r="J13" s="614">
        <f t="shared" si="3"/>
        <v>241</v>
      </c>
      <c r="K13" s="405">
        <v>1</v>
      </c>
      <c r="L13" s="641">
        <f>IF(I13&gt;0,ROUND(((G13+$V16+($V$53*$S16))/2.5),0),"-")</f>
        <v>3996</v>
      </c>
      <c r="M13" s="642">
        <f>IF(J13&gt;0,ROUND(((H13+$V39+($V$53*$S39))/2.5),0),"-")</f>
        <v>4418</v>
      </c>
      <c r="N13" s="696"/>
      <c r="O13" s="1613"/>
      <c r="P13" s="1610"/>
      <c r="Q13" s="454">
        <f>'Эл-ты панельных ограждений - 1'!D13</f>
        <v>2.5</v>
      </c>
      <c r="R13" s="688" t="str">
        <f>'Эл-ты панельных ограждений - 1'!E13</f>
        <v>№ 1</v>
      </c>
      <c r="S13" s="688">
        <f>'Эл-ты панельных ограждений - 1'!F13</f>
        <v>5</v>
      </c>
      <c r="T13" s="454">
        <f>'Эл-ты панельных ограждений - 1'!G13</f>
        <v>6.77</v>
      </c>
      <c r="U13" s="1618"/>
      <c r="V13" s="453">
        <f>'Эл-ты панельных ограждений - 1'!I13</f>
        <v>1672</v>
      </c>
      <c r="W13" s="2"/>
      <c r="X13" s="349"/>
      <c r="Y13" s="382"/>
      <c r="Z13" s="354"/>
      <c r="AA13" s="410"/>
      <c r="AB13" s="410"/>
      <c r="AC13" s="351"/>
      <c r="AE13" s="353"/>
      <c r="AF13" s="353"/>
      <c r="AH13" s="354"/>
      <c r="AI13" s="354"/>
    </row>
    <row r="14" spans="1:35" customFormat="1" ht="21.95" customHeight="1" x14ac:dyDescent="0.25">
      <c r="A14" s="1561"/>
      <c r="B14" s="52" t="s">
        <v>187</v>
      </c>
      <c r="C14" s="176" t="s">
        <v>18</v>
      </c>
      <c r="D14" s="181"/>
      <c r="E14" s="175">
        <v>32.479999999999997</v>
      </c>
      <c r="F14" s="176">
        <v>40</v>
      </c>
      <c r="G14" s="704">
        <f t="shared" si="0"/>
        <v>7398</v>
      </c>
      <c r="H14" s="705">
        <f t="shared" si="1"/>
        <v>8141</v>
      </c>
      <c r="I14" s="614">
        <f t="shared" si="2"/>
        <v>219</v>
      </c>
      <c r="J14" s="614">
        <f t="shared" si="3"/>
        <v>241</v>
      </c>
      <c r="K14" s="405">
        <v>1.04</v>
      </c>
      <c r="L14" s="641">
        <f>IF(I14&gt;0,ROUND(((G14+$V16+($V$53*$S16))/2.5),0),"-")</f>
        <v>4299</v>
      </c>
      <c r="M14" s="642">
        <f>IF(J14&gt;0,ROUND(((H14+$V39+($V$53*$S39))/2.5),0),"-")</f>
        <v>4751</v>
      </c>
      <c r="N14" s="696"/>
      <c r="O14" s="1613"/>
      <c r="P14" s="1610"/>
      <c r="Q14" s="454">
        <f>'Эл-ты панельных ограждений - 1'!D14</f>
        <v>3</v>
      </c>
      <c r="R14" s="688"/>
      <c r="S14" s="688">
        <f>'Эл-ты панельных ограждений - 1'!F14</f>
        <v>4</v>
      </c>
      <c r="T14" s="454">
        <f>'Эл-ты панельных ограждений - 1'!G14</f>
        <v>8.1199999999999992</v>
      </c>
      <c r="U14" s="1618"/>
      <c r="V14" s="453">
        <f>'Эл-ты панельных ограждений - 1'!I14</f>
        <v>2006</v>
      </c>
      <c r="W14" s="2"/>
      <c r="X14" s="349"/>
      <c r="Y14" s="382"/>
      <c r="Z14" s="354"/>
      <c r="AA14" s="410"/>
      <c r="AB14" s="410"/>
      <c r="AC14" s="351"/>
      <c r="AE14" s="353"/>
      <c r="AF14" s="353"/>
      <c r="AH14" s="354"/>
      <c r="AI14" s="354"/>
    </row>
    <row r="15" spans="1:35" customFormat="1" ht="21.95" customHeight="1" x14ac:dyDescent="0.25">
      <c r="A15" s="1561"/>
      <c r="B15" s="52" t="s">
        <v>188</v>
      </c>
      <c r="C15" s="176" t="s">
        <v>18</v>
      </c>
      <c r="D15" s="181"/>
      <c r="E15" s="175">
        <v>34.799999999999997</v>
      </c>
      <c r="F15" s="176">
        <v>40</v>
      </c>
      <c r="G15" s="704">
        <f t="shared" si="0"/>
        <v>7926</v>
      </c>
      <c r="H15" s="705">
        <f t="shared" si="1"/>
        <v>8722</v>
      </c>
      <c r="I15" s="614">
        <f t="shared" si="2"/>
        <v>219</v>
      </c>
      <c r="J15" s="614">
        <f t="shared" si="3"/>
        <v>241</v>
      </c>
      <c r="K15" s="405">
        <v>1.04</v>
      </c>
      <c r="L15" s="641">
        <f>IF(I15&gt;0,ROUND(((G15+$V16+($V$53*$S16))/2.5),0),"-")</f>
        <v>4510</v>
      </c>
      <c r="M15" s="642">
        <f>IF(J15&gt;0,ROUND(((H15+$V39+($V$53*$S39))/2.5),0),"-")</f>
        <v>4984</v>
      </c>
      <c r="N15" s="696"/>
      <c r="O15" s="1613"/>
      <c r="P15" s="1610"/>
      <c r="Q15" s="454">
        <f>'Эл-ты панельных ограждений - 1'!D15</f>
        <v>3</v>
      </c>
      <c r="R15" s="688" t="str">
        <f>'Эл-ты панельных ограждений - 1'!E15</f>
        <v>№ 1</v>
      </c>
      <c r="S15" s="688">
        <f>'Эл-ты панельных ограждений - 1'!F15</f>
        <v>5</v>
      </c>
      <c r="T15" s="454">
        <f>'Эл-ты панельных ограждений - 1'!G15</f>
        <v>8.1199999999999992</v>
      </c>
      <c r="U15" s="1618"/>
      <c r="V15" s="453">
        <f>'Эл-ты панельных ограждений - 1'!I15</f>
        <v>2006</v>
      </c>
      <c r="W15" s="2"/>
      <c r="X15" s="349"/>
      <c r="Y15" s="382"/>
      <c r="Z15" s="354"/>
      <c r="AA15" s="410"/>
      <c r="AB15" s="410"/>
      <c r="AC15" s="351"/>
      <c r="AE15" s="353"/>
      <c r="AF15" s="353"/>
      <c r="AH15" s="354"/>
      <c r="AI15" s="354"/>
    </row>
    <row r="16" spans="1:35" customFormat="1" ht="21.95" customHeight="1" x14ac:dyDescent="0.25">
      <c r="A16" s="458"/>
      <c r="B16" s="52" t="s">
        <v>203</v>
      </c>
      <c r="C16" s="176" t="s">
        <v>18</v>
      </c>
      <c r="D16" s="181"/>
      <c r="E16" s="175">
        <v>39.450000000000003</v>
      </c>
      <c r="F16" s="176">
        <v>35</v>
      </c>
      <c r="G16" s="704">
        <f t="shared" si="0"/>
        <v>8985</v>
      </c>
      <c r="H16" s="705">
        <f t="shared" si="1"/>
        <v>9888</v>
      </c>
      <c r="I16" s="614">
        <f t="shared" si="2"/>
        <v>219</v>
      </c>
      <c r="J16" s="614">
        <f t="shared" si="3"/>
        <v>241</v>
      </c>
      <c r="K16" s="405">
        <v>1.04</v>
      </c>
      <c r="L16" s="641">
        <f>IF(I16&gt;0,ROUND(((G16+$V16+($V$53*$S16))/2.5),0),"-")</f>
        <v>4934</v>
      </c>
      <c r="M16" s="642">
        <f>IF(J16&gt;0,ROUND(((H16+$V39+($V$53*$S39))/2.5),0),"-")</f>
        <v>5450</v>
      </c>
      <c r="N16" s="696"/>
      <c r="O16" s="1613"/>
      <c r="P16" s="1611"/>
      <c r="Q16" s="454">
        <f>'Эл-ты панельных ограждений - 1'!D16</f>
        <v>4</v>
      </c>
      <c r="R16" s="688"/>
      <c r="S16" s="688">
        <f>'Эл-ты панельных ограждений - 1'!F16</f>
        <v>6</v>
      </c>
      <c r="T16" s="454">
        <f>'Эл-ты панельных ограждений - 1'!G16</f>
        <v>11.06</v>
      </c>
      <c r="U16" s="1619"/>
      <c r="V16" s="453">
        <f>'Эл-ты панельных ограждений - 1'!I16</f>
        <v>2732</v>
      </c>
      <c r="W16" s="2"/>
      <c r="X16" s="349"/>
      <c r="Y16" s="382"/>
      <c r="Z16" s="354"/>
      <c r="AA16" s="410"/>
      <c r="AB16" s="410"/>
      <c r="AC16" s="351"/>
      <c r="AE16" s="353"/>
      <c r="AF16" s="353"/>
      <c r="AH16" s="354"/>
      <c r="AI16" s="354"/>
    </row>
    <row r="17" spans="1:35" customFormat="1" ht="21.95" customHeight="1" x14ac:dyDescent="0.25">
      <c r="A17" s="459"/>
      <c r="B17" s="53" t="s">
        <v>204</v>
      </c>
      <c r="C17" s="190" t="s">
        <v>18</v>
      </c>
      <c r="D17" s="198"/>
      <c r="E17" s="189">
        <v>41.77</v>
      </c>
      <c r="F17" s="190">
        <v>35</v>
      </c>
      <c r="G17" s="707">
        <f t="shared" si="0"/>
        <v>9514</v>
      </c>
      <c r="H17" s="708">
        <f t="shared" si="1"/>
        <v>10469</v>
      </c>
      <c r="I17" s="616">
        <f t="shared" si="2"/>
        <v>219</v>
      </c>
      <c r="J17" s="616">
        <f t="shared" si="3"/>
        <v>241</v>
      </c>
      <c r="K17" s="407">
        <v>1.04</v>
      </c>
      <c r="L17" s="644">
        <f>IF(I17&gt;0,ROUND(((G17+$V20+($V$53*$S20))/2.5),0),"-")</f>
        <v>6103</v>
      </c>
      <c r="M17" s="645">
        <f>IF(J17&gt;0,ROUND(((H17+$V52+($V$53*$S52))/2.5),0),"-")</f>
        <v>6758</v>
      </c>
      <c r="N17" s="696"/>
      <c r="O17" s="1613"/>
      <c r="P17" s="1609" t="str">
        <f>'Эл-ты панельных ограждений - 1'!C17</f>
        <v>90х55х1,6</v>
      </c>
      <c r="Q17" s="454">
        <f>'Эл-ты панельных ограждений - 1'!D17</f>
        <v>4</v>
      </c>
      <c r="R17" s="688"/>
      <c r="S17" s="688">
        <v>6</v>
      </c>
      <c r="T17" s="454">
        <f>'Эл-ты панельных ограждений - 1'!G17</f>
        <v>15.53</v>
      </c>
      <c r="U17" s="1617">
        <f>'Эл-ты панельных ограждений - 1'!H17</f>
        <v>64</v>
      </c>
      <c r="V17" s="453">
        <f>'Эл-ты панельных ограждений - 1'!I17</f>
        <v>3836</v>
      </c>
      <c r="W17" s="2"/>
      <c r="X17" s="349"/>
      <c r="Y17" s="382"/>
      <c r="Z17" s="354"/>
      <c r="AA17" s="410"/>
      <c r="AB17" s="410"/>
      <c r="AC17" s="351"/>
      <c r="AE17" s="353"/>
      <c r="AF17" s="353"/>
      <c r="AH17" s="354"/>
      <c r="AI17" s="354"/>
    </row>
    <row r="18" spans="1:35" customFormat="1" ht="21.95" customHeight="1" x14ac:dyDescent="0.25">
      <c r="A18" s="1560" t="s">
        <v>296</v>
      </c>
      <c r="B18" s="169" t="s">
        <v>190</v>
      </c>
      <c r="C18" s="182" t="s">
        <v>18</v>
      </c>
      <c r="D18" s="183"/>
      <c r="E18" s="172">
        <v>21.68</v>
      </c>
      <c r="F18" s="173">
        <v>50</v>
      </c>
      <c r="G18" s="702">
        <f t="shared" si="0"/>
        <v>5128</v>
      </c>
      <c r="H18" s="703">
        <f t="shared" si="1"/>
        <v>5643</v>
      </c>
      <c r="I18" s="615">
        <v>219</v>
      </c>
      <c r="J18" s="615">
        <v>241</v>
      </c>
      <c r="K18" s="404">
        <v>1.08</v>
      </c>
      <c r="L18" s="639">
        <f>IF(I18&gt;0,ROUND(((G18+V6+($V$53*S6))/2.5),0),"-")</f>
        <v>2579</v>
      </c>
      <c r="M18" s="640">
        <f>IF(I18&gt;0,ROUND(((H18+V25+($V$53*S25))/2.5),0),"-")</f>
        <v>2848</v>
      </c>
      <c r="N18" s="696"/>
      <c r="O18" s="1613"/>
      <c r="P18" s="1610"/>
      <c r="Q18" s="454">
        <f>'Эл-ты панельных ограждений - 1'!D18</f>
        <v>4</v>
      </c>
      <c r="R18" s="688"/>
      <c r="S18" s="688">
        <v>6</v>
      </c>
      <c r="T18" s="454">
        <f>'Эл-ты панельных ограждений - 1'!G18</f>
        <v>15.53</v>
      </c>
      <c r="U18" s="1618"/>
      <c r="V18" s="453">
        <f>'Эл-ты панельных ограждений - 1'!I18</f>
        <v>3914</v>
      </c>
      <c r="W18" s="2"/>
      <c r="X18" s="349"/>
      <c r="Y18" s="349"/>
      <c r="Z18" s="354"/>
      <c r="AA18" s="410"/>
      <c r="AB18" s="410"/>
      <c r="AC18" s="351"/>
      <c r="AE18" s="353"/>
      <c r="AF18" s="353"/>
      <c r="AH18" s="354"/>
      <c r="AI18" s="354"/>
    </row>
    <row r="19" spans="1:35" customFormat="1" ht="21.95" customHeight="1" x14ac:dyDescent="0.25">
      <c r="A19" s="1561"/>
      <c r="B19" s="52" t="s">
        <v>182</v>
      </c>
      <c r="C19" s="170" t="s">
        <v>18</v>
      </c>
      <c r="D19" s="174"/>
      <c r="E19" s="175">
        <v>25.56</v>
      </c>
      <c r="F19" s="176">
        <v>40</v>
      </c>
      <c r="G19" s="704">
        <f t="shared" si="0"/>
        <v>6045</v>
      </c>
      <c r="H19" s="705">
        <f t="shared" si="1"/>
        <v>6653</v>
      </c>
      <c r="I19" s="614">
        <f>$I$18</f>
        <v>219</v>
      </c>
      <c r="J19" s="614">
        <f>$J$18</f>
        <v>241</v>
      </c>
      <c r="K19" s="405">
        <v>1.08</v>
      </c>
      <c r="L19" s="641">
        <f>IF(I19&gt;0,ROUND(((G19+V7+($V$53*S7))/2.5),0),"-")</f>
        <v>3005</v>
      </c>
      <c r="M19" s="642">
        <f>IF(I19&gt;0,ROUND(((H19+V26+($V$53*S26))/2.5),0),"-")</f>
        <v>3320</v>
      </c>
      <c r="N19" s="696"/>
      <c r="O19" s="1613"/>
      <c r="P19" s="1610"/>
      <c r="Q19" s="454">
        <f>'Эл-ты панельных ограждений - 1'!D19</f>
        <v>5</v>
      </c>
      <c r="R19" s="688"/>
      <c r="S19" s="688">
        <v>8</v>
      </c>
      <c r="T19" s="454">
        <f>'Эл-ты панельных ограждений - 1'!G19</f>
        <v>19.52</v>
      </c>
      <c r="U19" s="1618"/>
      <c r="V19" s="453">
        <f>'Эл-ты панельных ограждений - 1'!I19</f>
        <v>4821</v>
      </c>
      <c r="W19" s="354"/>
      <c r="X19" s="349"/>
      <c r="Y19" s="382"/>
      <c r="Z19" s="354"/>
      <c r="AA19" s="410"/>
      <c r="AB19" s="410"/>
      <c r="AC19" s="351"/>
      <c r="AE19" s="353"/>
      <c r="AF19" s="353"/>
      <c r="AH19" s="354"/>
      <c r="AI19" s="354"/>
    </row>
    <row r="20" spans="1:35" customFormat="1" ht="21.95" customHeight="1" x14ac:dyDescent="0.25">
      <c r="A20" s="1561"/>
      <c r="B20" s="52" t="s">
        <v>183</v>
      </c>
      <c r="C20" s="170" t="s">
        <v>18</v>
      </c>
      <c r="D20" s="174"/>
      <c r="E20" s="175">
        <v>30.4</v>
      </c>
      <c r="F20" s="176">
        <v>40</v>
      </c>
      <c r="G20" s="704">
        <f t="shared" si="0"/>
        <v>6924</v>
      </c>
      <c r="H20" s="705">
        <f t="shared" si="1"/>
        <v>7619</v>
      </c>
      <c r="I20" s="614">
        <f t="shared" ref="I20:I30" si="4">$I$18</f>
        <v>219</v>
      </c>
      <c r="J20" s="614">
        <f t="shared" ref="J20:J30" si="5">$J$18</f>
        <v>241</v>
      </c>
      <c r="K20" s="405">
        <v>1.04</v>
      </c>
      <c r="L20" s="641">
        <f>IF(I20&gt;0,ROUND(((G20+V8+($V$53*S8))/2.5),0),"-")</f>
        <v>3417</v>
      </c>
      <c r="M20" s="642">
        <f>IF(I20&gt;0,ROUND(((H20+V27+($V$53*S27))/2.5),0),"-")</f>
        <v>3775</v>
      </c>
      <c r="N20" s="696"/>
      <c r="O20" s="1614"/>
      <c r="P20" s="1611"/>
      <c r="Q20" s="454">
        <f>'Эл-ты панельных ограждений - 1'!D20</f>
        <v>5</v>
      </c>
      <c r="R20" s="688"/>
      <c r="S20" s="688">
        <v>8</v>
      </c>
      <c r="T20" s="454">
        <f>'Эл-ты панельных ограждений - 1'!G20</f>
        <v>19.52</v>
      </c>
      <c r="U20" s="1619"/>
      <c r="V20" s="453">
        <f>'Эл-ты панельных ограждений - 1'!I20</f>
        <v>4919</v>
      </c>
      <c r="W20" s="354"/>
      <c r="X20" s="349"/>
      <c r="Y20" s="382"/>
      <c r="Z20" s="354"/>
      <c r="AA20" s="410"/>
      <c r="AB20" s="410"/>
      <c r="AC20" s="351"/>
      <c r="AE20" s="353"/>
      <c r="AF20" s="353"/>
      <c r="AH20" s="354"/>
      <c r="AI20" s="354"/>
    </row>
    <row r="21" spans="1:35" customFormat="1" ht="21.95" customHeight="1" x14ac:dyDescent="0.25">
      <c r="A21" s="1561"/>
      <c r="B21" s="52" t="s">
        <v>201</v>
      </c>
      <c r="C21" s="170" t="s">
        <v>18</v>
      </c>
      <c r="D21" s="174"/>
      <c r="E21" s="175">
        <v>33.33</v>
      </c>
      <c r="F21" s="176">
        <v>40</v>
      </c>
      <c r="G21" s="704">
        <f t="shared" si="0"/>
        <v>7591</v>
      </c>
      <c r="H21" s="705">
        <f t="shared" si="1"/>
        <v>8354</v>
      </c>
      <c r="I21" s="614">
        <f t="shared" si="4"/>
        <v>219</v>
      </c>
      <c r="J21" s="614">
        <f t="shared" si="5"/>
        <v>241</v>
      </c>
      <c r="K21" s="405">
        <v>1.04</v>
      </c>
      <c r="L21" s="641">
        <f>IF(I21&gt;0,ROUND(((G21+V9+($V$53*S9))/2.5),0),"-")</f>
        <v>3696</v>
      </c>
      <c r="M21" s="642">
        <f>IF(I21&gt;0,ROUND(((H21+V29+($V$53*S29))/2.5),0),"-")</f>
        <v>4076</v>
      </c>
      <c r="N21" s="696"/>
      <c r="O21" s="1612" t="str">
        <f>'Эл-ты панельных ограждений - 1'!B21</f>
        <v>Столб оцинкованный с полимерным покрытием 
с отверстиями или резьбовыми втулками 
в профиле 62х55, 90х55 и 80х80 и заглушкой</v>
      </c>
      <c r="P21" s="1609" t="str">
        <f>'Эл-ты панельных ограждений - 1'!C21</f>
        <v>62х55х1,4</v>
      </c>
      <c r="Q21" s="454">
        <f>'Эл-ты панельных ограждений - 1'!D21</f>
        <v>1</v>
      </c>
      <c r="R21" s="688"/>
      <c r="S21" s="688" t="str">
        <f>'Эл-ты панельных ограждений - 1'!F21</f>
        <v>-</v>
      </c>
      <c r="T21" s="454">
        <f>'Эл-ты панельных ограждений - 1'!G21</f>
        <v>2.71</v>
      </c>
      <c r="U21" s="1617">
        <f>'Эл-ты панельных ограждений - 1'!H21</f>
        <v>96</v>
      </c>
      <c r="V21" s="453">
        <f>'Эл-ты панельных ограждений - 1'!I21</f>
        <v>833</v>
      </c>
      <c r="W21" s="354"/>
      <c r="X21" s="349"/>
      <c r="Y21" s="382"/>
      <c r="Z21" s="354"/>
      <c r="AA21" s="410"/>
      <c r="AB21" s="410"/>
      <c r="AC21" s="351"/>
      <c r="AE21" s="353"/>
      <c r="AF21" s="353"/>
      <c r="AH21" s="354"/>
      <c r="AI21" s="354"/>
    </row>
    <row r="22" spans="1:35" customFormat="1" ht="21.95" customHeight="1" x14ac:dyDescent="0.25">
      <c r="A22" s="1561"/>
      <c r="B22" s="52" t="s">
        <v>202</v>
      </c>
      <c r="C22" s="170" t="s">
        <v>18</v>
      </c>
      <c r="D22" s="174"/>
      <c r="E22" s="175">
        <v>37.21</v>
      </c>
      <c r="F22" s="176">
        <v>30</v>
      </c>
      <c r="G22" s="704">
        <f t="shared" si="0"/>
        <v>8149</v>
      </c>
      <c r="H22" s="705">
        <f t="shared" si="1"/>
        <v>8968</v>
      </c>
      <c r="I22" s="614">
        <f t="shared" si="4"/>
        <v>219</v>
      </c>
      <c r="J22" s="614">
        <f t="shared" si="5"/>
        <v>241</v>
      </c>
      <c r="K22" s="405">
        <v>1</v>
      </c>
      <c r="L22" s="641">
        <f>IF(I22&gt;0,ROUND(((G22+V10+($V$53*S10))/2.5),0),"-")</f>
        <v>3974</v>
      </c>
      <c r="M22" s="642">
        <f>IF(I22&gt;0,ROUND(((H22+V30+($V$53*S30))/2.5),0),"-")</f>
        <v>4385</v>
      </c>
      <c r="N22" s="696"/>
      <c r="O22" s="1613"/>
      <c r="P22" s="1610"/>
      <c r="Q22" s="454">
        <f>'Эл-ты панельных ограждений - 1'!D22</f>
        <v>1.1000000000000001</v>
      </c>
      <c r="R22" s="688"/>
      <c r="S22" s="688">
        <f>'Эл-ты панельных ограждений - 1'!F22</f>
        <v>2</v>
      </c>
      <c r="T22" s="454">
        <f>'Эл-ты панельных ограждений - 1'!G22</f>
        <v>2.9810000000000003</v>
      </c>
      <c r="U22" s="1618"/>
      <c r="V22" s="453">
        <f>'Эл-ты панельных ограждений - 1'!I22</f>
        <v>933</v>
      </c>
      <c r="W22" s="354"/>
      <c r="X22" s="349"/>
      <c r="Y22" s="382"/>
      <c r="Z22" s="354"/>
      <c r="AA22" s="410"/>
      <c r="AB22" s="410"/>
      <c r="AC22" s="351"/>
      <c r="AE22" s="353"/>
      <c r="AF22" s="353"/>
      <c r="AH22" s="354"/>
      <c r="AI22" s="354"/>
    </row>
    <row r="23" spans="1:35" customFormat="1" ht="21.95" customHeight="1" x14ac:dyDescent="0.25">
      <c r="A23" s="1561"/>
      <c r="B23" s="52" t="s">
        <v>194</v>
      </c>
      <c r="C23" s="170" t="s">
        <v>18</v>
      </c>
      <c r="D23" s="174"/>
      <c r="E23" s="175">
        <v>41.09</v>
      </c>
      <c r="F23" s="176">
        <v>30</v>
      </c>
      <c r="G23" s="704">
        <f t="shared" si="0"/>
        <v>8999</v>
      </c>
      <c r="H23" s="705">
        <f t="shared" si="1"/>
        <v>9903</v>
      </c>
      <c r="I23" s="614">
        <f t="shared" si="4"/>
        <v>219</v>
      </c>
      <c r="J23" s="614">
        <f t="shared" si="5"/>
        <v>241</v>
      </c>
      <c r="K23" s="405">
        <v>1</v>
      </c>
      <c r="L23" s="641">
        <f>IF(I23&gt;0,ROUND(((G23+V13+($V$53*S13))/2.5),0),"-")</f>
        <v>4474</v>
      </c>
      <c r="M23" s="642">
        <f>IF(I23&gt;0,ROUND(((H23+V34+($V$53*S34))/2.5),0),"-")</f>
        <v>4931</v>
      </c>
      <c r="N23" s="696"/>
      <c r="O23" s="1613"/>
      <c r="P23" s="1610"/>
      <c r="Q23" s="454">
        <f>'Эл-ты панельных ограждений - 1'!D23</f>
        <v>1.3</v>
      </c>
      <c r="R23" s="688"/>
      <c r="S23" s="688">
        <f>'Эл-ты панельных ограждений - 1'!F23</f>
        <v>2</v>
      </c>
      <c r="T23" s="454">
        <f>'Эл-ты панельных ограждений - 1'!G23</f>
        <v>3.5230000000000001</v>
      </c>
      <c r="U23" s="1618"/>
      <c r="V23" s="453">
        <f>'Эл-ты панельных ограждений - 1'!I23</f>
        <v>1103</v>
      </c>
      <c r="W23" s="354"/>
      <c r="X23" s="349"/>
      <c r="Y23" s="382"/>
      <c r="Z23" s="354"/>
      <c r="AA23" s="410"/>
      <c r="AB23" s="410"/>
      <c r="AC23" s="351"/>
      <c r="AE23" s="353"/>
      <c r="AF23" s="353"/>
      <c r="AH23" s="354"/>
      <c r="AI23" s="354"/>
    </row>
    <row r="24" spans="1:35" customFormat="1" ht="21.95" customHeight="1" x14ac:dyDescent="0.25">
      <c r="A24" s="1561"/>
      <c r="B24" s="52" t="s">
        <v>185</v>
      </c>
      <c r="C24" s="170" t="s">
        <v>18</v>
      </c>
      <c r="D24" s="174"/>
      <c r="E24" s="175">
        <v>46.47</v>
      </c>
      <c r="F24" s="176">
        <v>30</v>
      </c>
      <c r="G24" s="704">
        <f t="shared" si="0"/>
        <v>10177</v>
      </c>
      <c r="H24" s="705">
        <f t="shared" si="1"/>
        <v>11199</v>
      </c>
      <c r="I24" s="614">
        <f t="shared" si="4"/>
        <v>219</v>
      </c>
      <c r="J24" s="614">
        <f t="shared" si="5"/>
        <v>241</v>
      </c>
      <c r="K24" s="405">
        <v>1</v>
      </c>
      <c r="L24" s="641">
        <f>IF(I24&gt;0,ROUND(((G24+V15+($V$53*S15))/2.5),0),"-")</f>
        <v>5079</v>
      </c>
      <c r="M24" s="642">
        <f>IF(I24&gt;0,ROUND(((H24+V37+($V$53*S37))/2.5),0),"-")</f>
        <v>5602</v>
      </c>
      <c r="N24" s="696"/>
      <c r="O24" s="1613"/>
      <c r="P24" s="1610"/>
      <c r="Q24" s="454">
        <f>'Эл-ты панельных ограждений - 1'!D24</f>
        <v>1.5</v>
      </c>
      <c r="R24" s="688"/>
      <c r="S24" s="688" t="str">
        <f>'Эл-ты панельных ограждений - 1'!F24</f>
        <v>-</v>
      </c>
      <c r="T24" s="454">
        <f>'Эл-ты панельных ограждений - 1'!G24</f>
        <v>4.0649999999999995</v>
      </c>
      <c r="U24" s="1618"/>
      <c r="V24" s="453">
        <f>'Эл-ты панельных ограждений - 1'!I24</f>
        <v>1250</v>
      </c>
      <c r="W24" s="354"/>
      <c r="X24" s="349"/>
      <c r="Y24" s="382"/>
      <c r="Z24" s="354"/>
      <c r="AA24" s="410"/>
      <c r="AB24" s="410"/>
      <c r="AC24" s="351"/>
      <c r="AE24" s="353"/>
      <c r="AF24" s="353"/>
      <c r="AH24" s="354"/>
      <c r="AI24" s="354"/>
    </row>
    <row r="25" spans="1:35" customFormat="1" ht="21.95" customHeight="1" x14ac:dyDescent="0.25">
      <c r="A25" s="1561"/>
      <c r="B25" s="52" t="s">
        <v>196</v>
      </c>
      <c r="C25" s="170" t="s">
        <v>18</v>
      </c>
      <c r="D25" s="174"/>
      <c r="E25" s="175">
        <v>48.86</v>
      </c>
      <c r="F25" s="176">
        <v>25</v>
      </c>
      <c r="G25" s="704">
        <f t="shared" si="0"/>
        <v>10700</v>
      </c>
      <c r="H25" s="705">
        <f t="shared" si="1"/>
        <v>11775</v>
      </c>
      <c r="I25" s="614">
        <f t="shared" si="4"/>
        <v>219</v>
      </c>
      <c r="J25" s="614">
        <f t="shared" si="5"/>
        <v>241</v>
      </c>
      <c r="K25" s="405">
        <v>1</v>
      </c>
      <c r="L25" s="641">
        <f>IF(I25&gt;0,ROUND(((G25+V15+($V$53*S15))/2.5),0),"-")</f>
        <v>5288</v>
      </c>
      <c r="M25" s="642">
        <f>IF(I25&gt;0,ROUND(((H25+V37+($V$53*S37))/2.5),0),"-")</f>
        <v>5832</v>
      </c>
      <c r="N25" s="696"/>
      <c r="O25" s="1613"/>
      <c r="P25" s="1610"/>
      <c r="Q25" s="454">
        <f>'Эл-ты панельных ограждений - 1'!D25</f>
        <v>1.5</v>
      </c>
      <c r="R25" s="688">
        <f>'Эл-ты панельных ограждений - 1'!E25</f>
        <v>0</v>
      </c>
      <c r="S25" s="688">
        <f>'Эл-ты панельных ограждений - 1'!F25</f>
        <v>2</v>
      </c>
      <c r="T25" s="454">
        <f>'Эл-ты панельных ограждений - 1'!G25</f>
        <v>4.0599999999999996</v>
      </c>
      <c r="U25" s="1618"/>
      <c r="V25" s="453">
        <f>'Эл-ты панельных ограждений - 1'!I25</f>
        <v>1271</v>
      </c>
      <c r="W25" s="354"/>
      <c r="X25" s="349"/>
      <c r="Y25" s="382"/>
      <c r="Z25" s="354"/>
      <c r="AA25" s="410"/>
      <c r="AB25" s="410"/>
      <c r="AC25" s="351"/>
      <c r="AE25" s="353"/>
      <c r="AF25" s="353"/>
      <c r="AH25" s="354"/>
      <c r="AI25" s="354"/>
    </row>
    <row r="26" spans="1:35" customFormat="1" ht="21.95" customHeight="1" x14ac:dyDescent="0.25">
      <c r="A26" s="1561"/>
      <c r="B26" s="52" t="s">
        <v>186</v>
      </c>
      <c r="C26" s="170" t="s">
        <v>18</v>
      </c>
      <c r="D26" s="174"/>
      <c r="E26" s="175">
        <v>50.43</v>
      </c>
      <c r="F26" s="176">
        <v>25</v>
      </c>
      <c r="G26" s="704">
        <f t="shared" si="0"/>
        <v>11044</v>
      </c>
      <c r="H26" s="705">
        <f t="shared" si="1"/>
        <v>12154</v>
      </c>
      <c r="I26" s="614">
        <f t="shared" si="4"/>
        <v>219</v>
      </c>
      <c r="J26" s="614">
        <f t="shared" si="5"/>
        <v>241</v>
      </c>
      <c r="K26" s="405">
        <v>1</v>
      </c>
      <c r="L26" s="641">
        <f>IF(I26&gt;0,ROUND(((G26+V16+($V$53*S16))/2.5),0),"-")</f>
        <v>5758</v>
      </c>
      <c r="M26" s="642">
        <f>IF(I26&gt;0,ROUND(((H26+V39+($V$53*S39))/2.5),0),"-")</f>
        <v>6356</v>
      </c>
      <c r="N26" s="696"/>
      <c r="O26" s="1613"/>
      <c r="P26" s="1610"/>
      <c r="Q26" s="454">
        <f>'Эл-ты панельных ограждений - 1'!D26</f>
        <v>1.7</v>
      </c>
      <c r="R26" s="688"/>
      <c r="S26" s="688">
        <f>'Эл-ты панельных ограждений - 1'!F26</f>
        <v>2</v>
      </c>
      <c r="T26" s="454">
        <f>'Эл-ты панельных ограждений - 1'!G26</f>
        <v>4.5999999999999996</v>
      </c>
      <c r="U26" s="1618"/>
      <c r="V26" s="453">
        <f>'Эл-ты панельных ограждений - 1'!I26</f>
        <v>1440</v>
      </c>
      <c r="W26" s="2"/>
      <c r="X26" s="349"/>
      <c r="Y26" s="382"/>
      <c r="Z26" s="354"/>
      <c r="AA26" s="410"/>
      <c r="AB26" s="410"/>
      <c r="AC26" s="351"/>
      <c r="AE26" s="353"/>
      <c r="AF26" s="353"/>
      <c r="AH26" s="354"/>
      <c r="AI26" s="354"/>
    </row>
    <row r="27" spans="1:35" customFormat="1" ht="21.95" customHeight="1" x14ac:dyDescent="0.25">
      <c r="A27" s="1561"/>
      <c r="B27" s="52" t="s">
        <v>187</v>
      </c>
      <c r="C27" s="184" t="s">
        <v>18</v>
      </c>
      <c r="D27" s="171"/>
      <c r="E27" s="185">
        <v>54</v>
      </c>
      <c r="F27" s="186">
        <v>25</v>
      </c>
      <c r="G27" s="704">
        <f t="shared" si="0"/>
        <v>12299</v>
      </c>
      <c r="H27" s="705">
        <f t="shared" si="1"/>
        <v>13535</v>
      </c>
      <c r="I27" s="614">
        <f t="shared" si="4"/>
        <v>219</v>
      </c>
      <c r="J27" s="614">
        <f t="shared" si="5"/>
        <v>241</v>
      </c>
      <c r="K27" s="405">
        <v>1.04</v>
      </c>
      <c r="L27" s="641">
        <f>IF(I27&gt;0,ROUND(((G27+V16+($V$53*S16))/2.5),0),"-")</f>
        <v>6260</v>
      </c>
      <c r="M27" s="642">
        <f>IF(I27&gt;0,ROUND(((H27+V39+($V$53*S39))/2.5),0),"-")</f>
        <v>6909</v>
      </c>
      <c r="N27" s="696"/>
      <c r="O27" s="1613"/>
      <c r="P27" s="1610"/>
      <c r="Q27" s="454">
        <f>'Эл-ты панельных ограждений - 1'!D27</f>
        <v>1.9</v>
      </c>
      <c r="R27" s="688"/>
      <c r="S27" s="688">
        <f>'Эл-ты панельных ограждений - 1'!F27</f>
        <v>2</v>
      </c>
      <c r="T27" s="454">
        <f>'Эл-ты панельных ограждений - 1'!G27</f>
        <v>5.149</v>
      </c>
      <c r="U27" s="1618"/>
      <c r="V27" s="453">
        <f>'Эл-ты панельных ограждений - 1'!I27</f>
        <v>1612</v>
      </c>
      <c r="W27" s="2"/>
      <c r="X27" s="349"/>
      <c r="Y27" s="382"/>
      <c r="Z27" s="354"/>
      <c r="AA27" s="410"/>
      <c r="AB27" s="410"/>
      <c r="AC27" s="351"/>
      <c r="AE27" s="353"/>
      <c r="AF27" s="353"/>
      <c r="AH27" s="354"/>
      <c r="AI27" s="354"/>
    </row>
    <row r="28" spans="1:35" customFormat="1" ht="21.95" customHeight="1" x14ac:dyDescent="0.25">
      <c r="A28" s="1561"/>
      <c r="B28" s="52" t="s">
        <v>188</v>
      </c>
      <c r="C28" s="170" t="s">
        <v>18</v>
      </c>
      <c r="D28" s="174"/>
      <c r="E28" s="175">
        <v>57.86</v>
      </c>
      <c r="F28" s="176">
        <v>20</v>
      </c>
      <c r="G28" s="704">
        <f t="shared" si="0"/>
        <v>13178</v>
      </c>
      <c r="H28" s="705">
        <f t="shared" si="1"/>
        <v>14502</v>
      </c>
      <c r="I28" s="614">
        <f t="shared" si="4"/>
        <v>219</v>
      </c>
      <c r="J28" s="614">
        <f t="shared" si="5"/>
        <v>241</v>
      </c>
      <c r="K28" s="405">
        <v>1.04</v>
      </c>
      <c r="L28" s="641">
        <f>IF(I28&gt;0,ROUND(((G28+V16+($V$53*S16))/2.5),0),"-")</f>
        <v>6611</v>
      </c>
      <c r="M28" s="642">
        <f>IF(I28&gt;0,ROUND(((H28+V39+($V$53*S39))/2.5),0),"-")</f>
        <v>7296</v>
      </c>
      <c r="N28" s="696"/>
      <c r="O28" s="1613"/>
      <c r="P28" s="1610"/>
      <c r="Q28" s="454">
        <f>'Эл-ты панельных ограждений - 1'!D28</f>
        <v>2</v>
      </c>
      <c r="R28" s="688"/>
      <c r="S28" s="688" t="str">
        <f>'Эл-ты панельных ограждений - 1'!F28</f>
        <v>-</v>
      </c>
      <c r="T28" s="454">
        <f>'Эл-ты панельных ограждений - 1'!G28</f>
        <v>5.42</v>
      </c>
      <c r="U28" s="1618"/>
      <c r="V28" s="453">
        <f>'Эл-ты панельных ограждений - 1'!I28</f>
        <v>1501</v>
      </c>
      <c r="W28" s="2"/>
      <c r="X28" s="349"/>
      <c r="Y28" s="382"/>
      <c r="Z28" s="354"/>
      <c r="AA28" s="410"/>
      <c r="AB28" s="410"/>
      <c r="AC28" s="351"/>
      <c r="AE28" s="353"/>
      <c r="AF28" s="353"/>
      <c r="AH28" s="354"/>
      <c r="AI28" s="354"/>
    </row>
    <row r="29" spans="1:35" customFormat="1" ht="21.95" customHeight="1" x14ac:dyDescent="0.25">
      <c r="A29" s="1561"/>
      <c r="B29" s="52" t="s">
        <v>203</v>
      </c>
      <c r="C29" s="170" t="s">
        <v>18</v>
      </c>
      <c r="D29" s="174"/>
      <c r="E29" s="175">
        <v>65.53</v>
      </c>
      <c r="F29" s="176">
        <v>20</v>
      </c>
      <c r="G29" s="704">
        <f t="shared" si="0"/>
        <v>14925</v>
      </c>
      <c r="H29" s="705">
        <f t="shared" si="1"/>
        <v>16424</v>
      </c>
      <c r="I29" s="614">
        <f t="shared" si="4"/>
        <v>219</v>
      </c>
      <c r="J29" s="614">
        <f t="shared" si="5"/>
        <v>241</v>
      </c>
      <c r="K29" s="405">
        <v>1.04</v>
      </c>
      <c r="L29" s="641">
        <f>IF(I29&gt;0,ROUND(((G29+V16+($V$53*S16))/2.5),0),"-")</f>
        <v>7310</v>
      </c>
      <c r="M29" s="642">
        <f>IF(I29&gt;0,ROUND(((H29+V39+($V$53*S39))/2.5),0),"-")</f>
        <v>8064</v>
      </c>
      <c r="N29" s="696"/>
      <c r="O29" s="1613"/>
      <c r="P29" s="1610"/>
      <c r="Q29" s="454">
        <f>'Эл-ты панельных ограждений - 1'!D29</f>
        <v>2</v>
      </c>
      <c r="R29" s="688"/>
      <c r="S29" s="688">
        <f>'Эл-ты панельных ограждений - 1'!F29</f>
        <v>3</v>
      </c>
      <c r="T29" s="454">
        <f>'Эл-ты панельных ограждений - 1'!G29</f>
        <v>5.42</v>
      </c>
      <c r="U29" s="1618"/>
      <c r="V29" s="453">
        <f>'Эл-ты панельных ограждений - 1'!I29</f>
        <v>1528</v>
      </c>
      <c r="W29" s="2"/>
      <c r="X29" s="349"/>
      <c r="Y29" s="382"/>
      <c r="Z29" s="354"/>
      <c r="AA29" s="410"/>
      <c r="AB29" s="410"/>
      <c r="AC29" s="351"/>
      <c r="AE29" s="353"/>
      <c r="AF29" s="353"/>
      <c r="AH29" s="354"/>
      <c r="AI29" s="354"/>
    </row>
    <row r="30" spans="1:35" customFormat="1" ht="21.95" customHeight="1" x14ac:dyDescent="0.25">
      <c r="A30" s="1562"/>
      <c r="B30" s="53" t="s">
        <v>204</v>
      </c>
      <c r="C30" s="187" t="s">
        <v>18</v>
      </c>
      <c r="D30" s="188"/>
      <c r="E30" s="189">
        <v>69.349999999999994</v>
      </c>
      <c r="F30" s="190">
        <v>20</v>
      </c>
      <c r="G30" s="707">
        <f t="shared" si="0"/>
        <v>15795</v>
      </c>
      <c r="H30" s="708">
        <f t="shared" si="1"/>
        <v>17382</v>
      </c>
      <c r="I30" s="616">
        <f t="shared" si="4"/>
        <v>219</v>
      </c>
      <c r="J30" s="616">
        <f t="shared" si="5"/>
        <v>241</v>
      </c>
      <c r="K30" s="407">
        <v>1.04</v>
      </c>
      <c r="L30" s="644">
        <f>IF(I30&gt;0,ROUND(((G30+V20+($V$53*S20))/2.5),0),"-")</f>
        <v>8615</v>
      </c>
      <c r="M30" s="645">
        <f>IF(I30&gt;0,ROUND(((H30+V52+($V$53*S52))/2.5),0),"-")</f>
        <v>9523</v>
      </c>
      <c r="N30" s="696"/>
      <c r="O30" s="1613"/>
      <c r="P30" s="1610"/>
      <c r="Q30" s="454">
        <f>'Эл-ты панельных ограждений - 1'!D31</f>
        <v>2.2000000000000002</v>
      </c>
      <c r="R30" s="688"/>
      <c r="S30" s="688">
        <f>'Эл-ты панельных ограждений - 1'!F31</f>
        <v>3</v>
      </c>
      <c r="T30" s="454">
        <f>'Эл-ты панельных ограждений - 1'!G31</f>
        <v>5.98</v>
      </c>
      <c r="U30" s="1618"/>
      <c r="V30" s="453">
        <f>'Эл-ты панельных ограждений - 1'!I31</f>
        <v>1686</v>
      </c>
      <c r="W30" s="2"/>
      <c r="X30" s="349"/>
      <c r="Y30" s="382"/>
      <c r="Z30" s="354"/>
      <c r="AA30" s="410"/>
      <c r="AB30" s="410"/>
      <c r="AC30" s="351"/>
      <c r="AE30" s="353"/>
      <c r="AF30" s="353"/>
      <c r="AH30" s="354"/>
      <c r="AI30" s="354"/>
    </row>
    <row r="31" spans="1:35" customFormat="1" ht="21.95" customHeight="1" x14ac:dyDescent="0.3">
      <c r="A31" s="160" t="s">
        <v>1334</v>
      </c>
      <c r="B31" s="5"/>
      <c r="C31" s="5"/>
      <c r="D31" s="5"/>
      <c r="E31" s="5"/>
      <c r="F31" s="1579" t="s">
        <v>1335</v>
      </c>
      <c r="G31" s="1579"/>
      <c r="H31" s="1579"/>
      <c r="I31" s="1579"/>
      <c r="J31" s="1579"/>
      <c r="K31" s="1579"/>
      <c r="L31" s="1579"/>
      <c r="M31" s="558"/>
      <c r="N31" s="448"/>
      <c r="O31" s="1613"/>
      <c r="P31" s="1610"/>
      <c r="Q31" s="454">
        <f>'Эл-ты панельных ограждений - 1'!D32</f>
        <v>2.4</v>
      </c>
      <c r="R31" s="688"/>
      <c r="S31" s="688">
        <f>'Эл-ты панельных ограждений - 1'!F32</f>
        <v>3</v>
      </c>
      <c r="T31" s="454">
        <f>'Эл-ты панельных ограждений - 1'!G32</f>
        <v>6.5039999999999996</v>
      </c>
      <c r="U31" s="1618"/>
      <c r="V31" s="453">
        <f>'Эл-ты панельных ограждений - 1'!I32</f>
        <v>1834</v>
      </c>
      <c r="W31" s="2"/>
      <c r="X31" s="335"/>
      <c r="Y31" s="335"/>
      <c r="AE31" s="2"/>
      <c r="AF31" s="2"/>
    </row>
    <row r="32" spans="1:35" customFormat="1" ht="20.25" customHeight="1" x14ac:dyDescent="0.3">
      <c r="A32" s="5" t="s">
        <v>1336</v>
      </c>
      <c r="B32" s="41"/>
      <c r="C32" s="41"/>
      <c r="D32" s="41"/>
      <c r="E32" s="41"/>
      <c r="F32" s="1580"/>
      <c r="G32" s="1580"/>
      <c r="H32" s="1580"/>
      <c r="I32" s="1580"/>
      <c r="J32" s="1580"/>
      <c r="K32" s="1580"/>
      <c r="L32" s="1580"/>
      <c r="M32" s="1581" t="s">
        <v>1337</v>
      </c>
      <c r="N32" s="693"/>
      <c r="O32" s="1613"/>
      <c r="P32" s="1610"/>
      <c r="Q32" s="454">
        <f>'Эл-ты панельных ограждений - 1'!D33</f>
        <v>2.5</v>
      </c>
      <c r="R32" s="688" t="str">
        <f>'Эл-ты панельных ограждений - 1'!E33</f>
        <v>№ 2</v>
      </c>
      <c r="S32" s="688" t="str">
        <f>'Эл-ты панельных ограждений - 1'!F33</f>
        <v>-</v>
      </c>
      <c r="T32" s="454">
        <f>'Эл-ты панельных ограждений - 1'!G33</f>
        <v>6.7750000000000004</v>
      </c>
      <c r="U32" s="1618"/>
      <c r="V32" s="453">
        <f>'Эл-ты панельных ограждений - 1'!I33</f>
        <v>1877</v>
      </c>
      <c r="W32" s="665"/>
      <c r="AE32" s="2"/>
      <c r="AF32" s="2"/>
    </row>
    <row r="33" spans="1:32" customFormat="1" ht="21.95" customHeight="1" x14ac:dyDescent="0.2">
      <c r="A33" s="154" t="s">
        <v>1338</v>
      </c>
      <c r="B33" s="41"/>
      <c r="C33" s="41"/>
      <c r="D33" s="41"/>
      <c r="E33" s="41"/>
      <c r="F33" s="1580"/>
      <c r="G33" s="1580"/>
      <c r="H33" s="1580"/>
      <c r="I33" s="1580"/>
      <c r="J33" s="1580"/>
      <c r="K33" s="1580"/>
      <c r="L33" s="1580"/>
      <c r="M33" s="1581"/>
      <c r="N33" s="693"/>
      <c r="O33" s="1613"/>
      <c r="P33" s="1610"/>
      <c r="Q33" s="454">
        <f>'Эл-ты панельных ограждений - 1'!D34</f>
        <v>2.5</v>
      </c>
      <c r="R33" s="688"/>
      <c r="S33" s="688">
        <f>'Эл-ты панельных ограждений - 1'!F34</f>
        <v>4</v>
      </c>
      <c r="T33" s="454">
        <f>'Эл-ты панельных ограждений - 1'!G34</f>
        <v>6.79</v>
      </c>
      <c r="U33" s="1618"/>
      <c r="V33" s="453">
        <f>'Эл-ты панельных ограждений - 1'!I34</f>
        <v>1915</v>
      </c>
      <c r="W33" s="665"/>
      <c r="AE33" s="2"/>
      <c r="AF33" s="2"/>
    </row>
    <row r="34" spans="1:32" customFormat="1" ht="21.95" customHeight="1" x14ac:dyDescent="0.2">
      <c r="A34" s="154" t="s">
        <v>1339</v>
      </c>
      <c r="B34" s="41"/>
      <c r="C34" s="41"/>
      <c r="D34" s="41"/>
      <c r="E34" s="41"/>
      <c r="F34" s="1580"/>
      <c r="G34" s="1580"/>
      <c r="H34" s="1580"/>
      <c r="I34" s="1580"/>
      <c r="J34" s="1580"/>
      <c r="K34" s="1580"/>
      <c r="L34" s="1580"/>
      <c r="M34" s="1581"/>
      <c r="N34" s="693"/>
      <c r="O34" s="1613"/>
      <c r="P34" s="1610"/>
      <c r="Q34" s="454">
        <f>'Эл-ты панельных ограждений - 1'!D35</f>
        <v>2.5</v>
      </c>
      <c r="R34" s="688" t="str">
        <f>'Эл-ты панельных ограждений - 1'!E35</f>
        <v>№ 2,4,5</v>
      </c>
      <c r="S34" s="688">
        <f>'Эл-ты панельных ограждений - 1'!F35</f>
        <v>5</v>
      </c>
      <c r="T34" s="454">
        <f>'Эл-ты панельных ограждений - 1'!G35</f>
        <v>6.77</v>
      </c>
      <c r="U34" s="1618"/>
      <c r="V34" s="453">
        <f>'Эл-ты панельных ограждений - 1'!I35</f>
        <v>1909</v>
      </c>
      <c r="W34" s="665"/>
      <c r="AE34" s="2"/>
      <c r="AF34" s="2"/>
    </row>
    <row r="35" spans="1:32" customFormat="1" ht="21.95" customHeight="1" x14ac:dyDescent="0.2">
      <c r="A35" s="162" t="s">
        <v>1340</v>
      </c>
      <c r="B35" s="41"/>
      <c r="C35" s="41"/>
      <c r="D35" s="41"/>
      <c r="E35" s="41"/>
      <c r="F35" s="1582" t="s">
        <v>1360</v>
      </c>
      <c r="G35" s="1582"/>
      <c r="H35" s="1582"/>
      <c r="I35" s="1582"/>
      <c r="J35" s="1582"/>
      <c r="K35" s="1582"/>
      <c r="L35" s="1582"/>
      <c r="M35" s="1582"/>
      <c r="N35" s="693"/>
      <c r="O35" s="1613"/>
      <c r="P35" s="1610"/>
      <c r="Q35" s="454">
        <f>'Эл-ты панельных ограждений - 1'!D36</f>
        <v>3</v>
      </c>
      <c r="R35" s="688" t="str">
        <f>'Эл-ты панельных ограждений - 1'!E36</f>
        <v>№ 2,4,5</v>
      </c>
      <c r="S35" s="688" t="str">
        <f>'Эл-ты панельных ограждений - 1'!F36</f>
        <v>-</v>
      </c>
      <c r="T35" s="454">
        <f>'Эл-ты панельных ограждений - 1'!G36</f>
        <v>8.129999999999999</v>
      </c>
      <c r="U35" s="1618"/>
      <c r="V35" s="453">
        <f>'Эл-ты панельных ограждений - 1'!I36</f>
        <v>2252</v>
      </c>
      <c r="W35" s="2"/>
      <c r="AE35" s="2"/>
      <c r="AF35" s="2"/>
    </row>
    <row r="36" spans="1:32" customFormat="1" ht="21.95" customHeight="1" x14ac:dyDescent="0.2">
      <c r="A36" s="1"/>
      <c r="B36" s="1"/>
      <c r="C36" s="1"/>
      <c r="D36" s="1"/>
      <c r="E36" s="1"/>
      <c r="F36" s="1582"/>
      <c r="G36" s="1582"/>
      <c r="H36" s="1582"/>
      <c r="I36" s="1582"/>
      <c r="J36" s="1582"/>
      <c r="K36" s="1582"/>
      <c r="L36" s="1582"/>
      <c r="M36" s="1582"/>
      <c r="N36" s="693"/>
      <c r="O36" s="1613"/>
      <c r="P36" s="1610"/>
      <c r="Q36" s="454">
        <f>'Эл-ты панельных ограждений - 1'!D37</f>
        <v>3</v>
      </c>
      <c r="R36" s="688"/>
      <c r="S36" s="688">
        <f>'Эл-ты панельных ограждений - 1'!F37</f>
        <v>4</v>
      </c>
      <c r="T36" s="454">
        <f>'Эл-ты панельных ограждений - 1'!G37</f>
        <v>8.1199999999999992</v>
      </c>
      <c r="U36" s="1618"/>
      <c r="V36" s="453">
        <f>'Эл-ты панельных ограждений - 1'!I37</f>
        <v>2290</v>
      </c>
      <c r="W36" s="2"/>
      <c r="X36" s="1"/>
      <c r="Y36" s="1"/>
      <c r="Z36" s="1"/>
      <c r="AA36" s="1"/>
      <c r="AB36" s="1"/>
      <c r="AC36" s="1"/>
      <c r="AE36" s="2"/>
      <c r="AF36" s="2"/>
    </row>
    <row r="37" spans="1:32" customFormat="1" ht="46.5" customHeight="1" x14ac:dyDescent="0.2">
      <c r="A37" s="1582" t="s">
        <v>358</v>
      </c>
      <c r="B37" s="1582"/>
      <c r="C37" s="1582"/>
      <c r="D37" s="1582"/>
      <c r="E37" s="1582"/>
      <c r="F37" s="1582"/>
      <c r="G37" s="1582"/>
      <c r="H37" s="1582"/>
      <c r="I37" s="1582"/>
      <c r="J37" s="1582"/>
      <c r="K37" s="1582"/>
      <c r="L37" s="1582"/>
      <c r="M37" s="1582"/>
      <c r="N37" s="693"/>
      <c r="O37" s="1613"/>
      <c r="P37" s="1610"/>
      <c r="Q37" s="454">
        <f>'Эл-ты панельных ограждений - 1'!D38</f>
        <v>3</v>
      </c>
      <c r="R37" s="688" t="str">
        <f>'Эл-ты панельных ограждений - 1'!E38</f>
        <v>№ 2,3</v>
      </c>
      <c r="S37" s="688">
        <f>'Эл-ты панельных ограждений - 1'!F38</f>
        <v>5</v>
      </c>
      <c r="T37" s="454">
        <f>'Эл-ты панельных ограждений - 1'!G38</f>
        <v>8.1199999999999992</v>
      </c>
      <c r="U37" s="1618"/>
      <c r="V37" s="453">
        <f>'Эл-ты панельных ограждений - 1'!I38</f>
        <v>2290</v>
      </c>
      <c r="W37" s="2"/>
      <c r="X37" s="1"/>
      <c r="Y37" s="1"/>
      <c r="Z37" s="1"/>
      <c r="AA37" s="1"/>
      <c r="AB37" s="1"/>
      <c r="AC37" s="1"/>
      <c r="AD37" s="1"/>
      <c r="AE37" s="2"/>
      <c r="AF37" s="2"/>
    </row>
    <row r="38" spans="1:32" customFormat="1" ht="46.5" customHeight="1" x14ac:dyDescent="0.3">
      <c r="A38" s="1616" t="s">
        <v>92</v>
      </c>
      <c r="B38" s="1616"/>
      <c r="C38" s="1616"/>
      <c r="D38" s="1616"/>
      <c r="E38" s="1031"/>
      <c r="F38" s="1295"/>
      <c r="G38" s="1295"/>
      <c r="H38" s="1295"/>
      <c r="I38" s="1295"/>
      <c r="J38" s="1295"/>
      <c r="K38" s="1295"/>
      <c r="L38" s="1295"/>
      <c r="M38" s="1295"/>
      <c r="N38" s="693"/>
      <c r="O38" s="1613"/>
      <c r="P38" s="1610"/>
      <c r="Q38" s="454"/>
      <c r="R38" s="688"/>
      <c r="S38" s="688"/>
      <c r="T38" s="454"/>
      <c r="U38" s="1618"/>
      <c r="V38" s="453"/>
      <c r="W38" s="2"/>
      <c r="X38" s="1"/>
      <c r="Y38" s="1"/>
      <c r="Z38" s="1"/>
      <c r="AA38" s="1"/>
      <c r="AB38" s="1"/>
      <c r="AC38" s="1"/>
      <c r="AD38" s="1"/>
      <c r="AE38" s="2"/>
      <c r="AF38" s="2"/>
    </row>
    <row r="39" spans="1:32" customFormat="1" ht="39.950000000000003" customHeight="1" x14ac:dyDescent="0.2">
      <c r="A39" s="1575" t="s">
        <v>524</v>
      </c>
      <c r="B39" s="1575"/>
      <c r="C39" s="1575"/>
      <c r="D39" s="1575"/>
      <c r="E39" s="1575"/>
      <c r="F39" s="1575"/>
      <c r="G39" s="1575"/>
      <c r="H39" s="1575"/>
      <c r="I39" s="1575"/>
      <c r="J39" s="1575"/>
      <c r="K39" s="1575"/>
      <c r="L39" s="1575"/>
      <c r="M39" s="1575"/>
      <c r="N39" s="693"/>
      <c r="O39" s="1613"/>
      <c r="P39" s="1611"/>
      <c r="Q39" s="454">
        <f>'Эл-ты панельных ограждений - 1'!D39</f>
        <v>4</v>
      </c>
      <c r="R39" s="688"/>
      <c r="S39" s="688">
        <f>'Эл-ты панельных ограждений - 1'!F39</f>
        <v>6</v>
      </c>
      <c r="T39" s="454">
        <f>'Эл-ты панельных ограждений - 1'!G39</f>
        <v>11.06</v>
      </c>
      <c r="U39" s="1619"/>
      <c r="V39" s="453">
        <f>'Эл-ты панельных ограждений - 1'!I39</f>
        <v>3119</v>
      </c>
      <c r="W39" s="2"/>
      <c r="X39" s="1"/>
      <c r="Y39" s="1"/>
      <c r="Z39" s="1"/>
      <c r="AA39" s="1"/>
      <c r="AB39" s="1"/>
      <c r="AC39" s="1"/>
      <c r="AD39" s="1"/>
      <c r="AE39" s="2"/>
      <c r="AF39" s="2"/>
    </row>
    <row r="40" spans="1:32" customFormat="1" ht="30" customHeight="1" x14ac:dyDescent="0.2">
      <c r="A40" s="743" t="s">
        <v>553</v>
      </c>
      <c r="B40" s="740"/>
      <c r="C40" s="740"/>
      <c r="D40" s="740"/>
      <c r="E40" s="740"/>
      <c r="F40" s="740"/>
      <c r="G40" s="738"/>
      <c r="H40" s="738"/>
      <c r="I40" s="738"/>
      <c r="J40" s="738"/>
      <c r="K40" s="738"/>
      <c r="L40" s="738"/>
      <c r="M40" s="739"/>
      <c r="N40" s="693"/>
      <c r="O40" s="1613"/>
      <c r="P40" s="697"/>
      <c r="Q40" s="454"/>
      <c r="R40" s="688"/>
      <c r="S40" s="688"/>
      <c r="T40" s="454"/>
      <c r="U40" s="689"/>
      <c r="V40" s="453"/>
      <c r="W40" s="2"/>
      <c r="Y40" s="1"/>
      <c r="Z40" s="1"/>
      <c r="AA40" s="1"/>
      <c r="AB40" s="1"/>
      <c r="AC40" s="1"/>
      <c r="AD40" s="1"/>
      <c r="AE40" s="2"/>
      <c r="AF40" s="2"/>
    </row>
    <row r="41" spans="1:32" customFormat="1" ht="50.1" customHeight="1" x14ac:dyDescent="0.2">
      <c r="A41" s="1323" t="s">
        <v>554</v>
      </c>
      <c r="B41" s="1574"/>
      <c r="C41" s="1574"/>
      <c r="D41" s="1574"/>
      <c r="E41" s="1574"/>
      <c r="F41" s="1574"/>
      <c r="G41" s="1574"/>
      <c r="H41" s="1574"/>
      <c r="I41" s="1574"/>
      <c r="J41" s="1574"/>
      <c r="K41" s="1574"/>
      <c r="L41" s="1574"/>
      <c r="M41" s="1324"/>
      <c r="N41" s="693"/>
      <c r="O41" s="1613"/>
      <c r="P41" s="697"/>
      <c r="Q41" s="454"/>
      <c r="R41" s="688"/>
      <c r="S41" s="688"/>
      <c r="T41" s="454"/>
      <c r="U41" s="689"/>
      <c r="V41" s="453"/>
      <c r="W41" s="2"/>
      <c r="Y41" s="1"/>
      <c r="Z41" s="1"/>
      <c r="AA41" s="1"/>
      <c r="AB41" s="1"/>
      <c r="AC41" s="1"/>
      <c r="AD41" s="1"/>
      <c r="AE41" s="2"/>
      <c r="AF41" s="2"/>
    </row>
    <row r="42" spans="1:32" customFormat="1" ht="60" customHeight="1" x14ac:dyDescent="0.2">
      <c r="A42" s="1576" t="s">
        <v>555</v>
      </c>
      <c r="B42" s="1577"/>
      <c r="C42" s="1577"/>
      <c r="D42" s="1577"/>
      <c r="E42" s="1577"/>
      <c r="F42" s="1577"/>
      <c r="G42" s="1577"/>
      <c r="H42" s="1577"/>
      <c r="I42" s="1577"/>
      <c r="J42" s="1577"/>
      <c r="K42" s="1577"/>
      <c r="L42" s="1577"/>
      <c r="M42" s="1578"/>
      <c r="N42" s="693"/>
      <c r="O42" s="1613"/>
      <c r="P42" s="697"/>
      <c r="Q42" s="454"/>
      <c r="R42" s="688"/>
      <c r="S42" s="688"/>
      <c r="T42" s="454"/>
      <c r="U42" s="689"/>
      <c r="V42" s="453"/>
      <c r="W42" s="2"/>
      <c r="Y42" s="1"/>
      <c r="Z42" s="1"/>
      <c r="AA42" s="1"/>
      <c r="AB42" s="1"/>
      <c r="AC42" s="1"/>
      <c r="AD42" s="1"/>
      <c r="AE42" s="2"/>
      <c r="AF42" s="2"/>
    </row>
    <row r="43" spans="1:32" customFormat="1" ht="15" customHeight="1" x14ac:dyDescent="0.3">
      <c r="A43" s="94"/>
      <c r="B43" s="161"/>
      <c r="C43" s="161"/>
      <c r="D43" s="161"/>
      <c r="E43" s="161"/>
      <c r="F43" s="1"/>
      <c r="G43" s="1"/>
      <c r="H43" s="1"/>
      <c r="I43" s="1"/>
      <c r="J43" s="1"/>
      <c r="K43" s="1"/>
      <c r="L43" s="1"/>
      <c r="M43" s="1"/>
      <c r="N43" s="693"/>
      <c r="O43" s="1613"/>
      <c r="P43" s="697"/>
      <c r="Q43" s="454"/>
      <c r="R43" s="688"/>
      <c r="S43" s="688"/>
      <c r="T43" s="454"/>
      <c r="U43" s="689"/>
      <c r="V43" s="453"/>
      <c r="W43" s="2"/>
      <c r="Y43" s="1"/>
      <c r="Z43" s="1"/>
      <c r="AA43" s="1"/>
      <c r="AB43" s="1"/>
      <c r="AC43" s="1"/>
      <c r="AD43" s="1"/>
      <c r="AE43" s="2"/>
      <c r="AF43" s="2"/>
    </row>
    <row r="44" spans="1:32" customFormat="1" ht="24.95" customHeight="1" x14ac:dyDescent="0.3">
      <c r="A44" s="621" t="s">
        <v>122</v>
      </c>
      <c r="B44" s="557"/>
      <c r="C44" s="557"/>
      <c r="D44" s="557"/>
      <c r="E44" s="557"/>
      <c r="F44" s="558"/>
      <c r="G44" s="558"/>
      <c r="H44" s="558"/>
      <c r="I44" s="558"/>
      <c r="J44" s="558"/>
      <c r="K44" s="558"/>
      <c r="L44" s="558"/>
      <c r="M44" s="1454" t="s">
        <v>450</v>
      </c>
      <c r="N44" s="69"/>
      <c r="O44" s="1613"/>
      <c r="P44" s="697"/>
      <c r="Q44" s="454"/>
      <c r="R44" s="688"/>
      <c r="S44" s="688"/>
      <c r="T44" s="454"/>
      <c r="U44" s="689"/>
      <c r="V44" s="453"/>
      <c r="W44" s="2"/>
      <c r="AE44" s="2"/>
      <c r="AF44" s="2"/>
    </row>
    <row r="45" spans="1:32" customFormat="1" ht="24.95" customHeight="1" x14ac:dyDescent="0.3">
      <c r="A45" s="622" t="s">
        <v>66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15"/>
      <c r="N45" s="284"/>
      <c r="O45" s="1613"/>
      <c r="P45" s="1609" t="str">
        <f>'Эл-ты панельных ограждений - 1'!C40</f>
        <v>80х80х2,0</v>
      </c>
      <c r="Q45" s="454">
        <f>'Эл-ты панельных ограждений - 1'!D40</f>
        <v>4</v>
      </c>
      <c r="R45" s="688"/>
      <c r="S45" s="688">
        <f>'Эл-ты панельных ограждений - 1'!F40</f>
        <v>6</v>
      </c>
      <c r="T45" s="454">
        <f>'Эл-ты панельных ограждений - 1'!G40</f>
        <v>19.2</v>
      </c>
      <c r="U45" s="1617">
        <f>'Эл-ты панельных ограждений - 1'!H40</f>
        <v>54</v>
      </c>
      <c r="V45" s="453">
        <f>'Эл-ты панельных ограждений - 1'!I40</f>
        <v>5069</v>
      </c>
      <c r="W45" s="2"/>
      <c r="AE45" s="2"/>
      <c r="AF45" s="2"/>
    </row>
    <row r="46" spans="1:32" customFormat="1" ht="24.95" customHeight="1" x14ac:dyDescent="0.3">
      <c r="A46" s="622" t="s">
        <v>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615"/>
      <c r="N46" s="284"/>
      <c r="O46" s="1613"/>
      <c r="P46" s="1611"/>
      <c r="Q46" s="454">
        <f>'Эл-ты панельных ограждений - 1'!D41</f>
        <v>5</v>
      </c>
      <c r="R46" s="688"/>
      <c r="S46" s="688">
        <f>'Эл-ты панельных ограждений - 1'!F41</f>
        <v>8</v>
      </c>
      <c r="T46" s="454">
        <f>'Эл-ты панельных ограждений - 1'!G41</f>
        <v>24</v>
      </c>
      <c r="U46" s="1619"/>
      <c r="V46" s="453">
        <f>'Эл-ты панельных ограждений - 1'!I41</f>
        <v>6336</v>
      </c>
      <c r="W46" s="2"/>
      <c r="AE46" s="2"/>
      <c r="AF46" s="2"/>
    </row>
    <row r="47" spans="1:32" customFormat="1" ht="24.95" customHeight="1" x14ac:dyDescent="0.3">
      <c r="A47" s="623" t="s">
        <v>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615"/>
      <c r="N47" s="284"/>
      <c r="O47" s="1613"/>
      <c r="P47" s="1609" t="str">
        <f>'Эл-ты панельных ограждений - 1'!C42</f>
        <v>90х55х1,6</v>
      </c>
      <c r="Q47" s="454">
        <f>'Эл-ты панельных ограждений - 1'!D42</f>
        <v>3</v>
      </c>
      <c r="R47" s="688"/>
      <c r="S47" s="688" t="str">
        <f>'Эл-ты панельных ограждений - 1'!F42</f>
        <v>-</v>
      </c>
      <c r="T47" s="454">
        <f>'Эл-ты панельных ограждений - 1'!G42</f>
        <v>11.64</v>
      </c>
      <c r="U47" s="1617">
        <f>'Эл-ты панельных ограждений - 1'!H42</f>
        <v>64</v>
      </c>
      <c r="V47" s="453">
        <f>'Эл-ты панельных ограждений - 1'!I42</f>
        <v>3224</v>
      </c>
      <c r="W47" s="2"/>
      <c r="AE47" s="2"/>
      <c r="AF47" s="2"/>
    </row>
    <row r="48" spans="1:32" customFormat="1" ht="24.95" customHeight="1" x14ac:dyDescent="0.3">
      <c r="A48" s="622" t="s">
        <v>373</v>
      </c>
      <c r="B48" s="556"/>
      <c r="C48" s="556"/>
      <c r="D48" s="556"/>
      <c r="E48" s="556"/>
      <c r="F48" s="556"/>
      <c r="G48" s="556"/>
      <c r="H48" s="556"/>
      <c r="I48" s="556"/>
      <c r="J48" s="556"/>
      <c r="K48" s="556"/>
      <c r="L48" s="556"/>
      <c r="M48" s="1615"/>
      <c r="N48" s="284"/>
      <c r="O48" s="1613"/>
      <c r="P48" s="1610"/>
      <c r="Q48" s="454">
        <f>'Эл-ты панельных ограждений - 1'!D43</f>
        <v>4</v>
      </c>
      <c r="R48" s="688"/>
      <c r="S48" s="688" t="str">
        <f>'Эл-ты панельных ограждений - 1'!F43</f>
        <v>-</v>
      </c>
      <c r="T48" s="454">
        <f>'Эл-ты панельных ограждений - 1'!G43</f>
        <v>15.52</v>
      </c>
      <c r="U48" s="1618"/>
      <c r="V48" s="453">
        <f>'Эл-ты панельных ограждений - 1'!I43</f>
        <v>4299</v>
      </c>
      <c r="W48" s="2"/>
      <c r="AE48" s="2"/>
      <c r="AF48" s="2"/>
    </row>
    <row r="49" spans="1:32" customFormat="1" ht="24.95" customHeight="1" x14ac:dyDescent="0.3">
      <c r="A49" s="622" t="s">
        <v>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1615"/>
      <c r="N49" s="284"/>
      <c r="O49" s="1613"/>
      <c r="P49" s="1610"/>
      <c r="Q49" s="454">
        <f>'Эл-ты панельных ограждений - 1'!D44</f>
        <v>4</v>
      </c>
      <c r="R49" s="688"/>
      <c r="S49" s="688">
        <v>6</v>
      </c>
      <c r="T49" s="454">
        <f>'Эл-ты панельных ограждений - 1'!G44</f>
        <v>15.53</v>
      </c>
      <c r="U49" s="1618"/>
      <c r="V49" s="453">
        <f>'Эл-ты панельных ограждений - 1'!I44</f>
        <v>4379</v>
      </c>
      <c r="W49" s="2"/>
      <c r="AE49" s="2"/>
      <c r="AF49" s="2"/>
    </row>
    <row r="50" spans="1:32" customFormat="1" ht="24.95" customHeight="1" x14ac:dyDescent="0.3">
      <c r="A50" s="746" t="s">
        <v>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1615"/>
      <c r="N50" s="284"/>
      <c r="O50" s="1613"/>
      <c r="P50" s="1610"/>
      <c r="Q50" s="454">
        <f>'Эл-ты панельных ограждений - 1'!D45</f>
        <v>4</v>
      </c>
      <c r="R50" s="688" t="str">
        <f>'Эл-ты панельных ограждений - 1'!E45</f>
        <v>№ 2</v>
      </c>
      <c r="S50" s="688">
        <v>6</v>
      </c>
      <c r="T50" s="454">
        <f>'Эл-ты панельных ограждений - 1'!G45</f>
        <v>15.53</v>
      </c>
      <c r="U50" s="1618"/>
      <c r="V50" s="453">
        <f>'Эл-ты панельных ограждений - 1'!I45</f>
        <v>4457</v>
      </c>
      <c r="W50" s="2"/>
      <c r="AE50" s="2"/>
      <c r="AF50" s="2"/>
    </row>
    <row r="51" spans="1:32" customFormat="1" ht="24.95" customHeight="1" x14ac:dyDescent="0.2">
      <c r="A51" s="74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615"/>
      <c r="N51" s="284"/>
      <c r="O51" s="1613"/>
      <c r="P51" s="1610"/>
      <c r="Q51" s="454">
        <f>'Эл-ты панельных ограждений - 1'!D46</f>
        <v>5</v>
      </c>
      <c r="R51" s="688"/>
      <c r="S51" s="688">
        <v>8</v>
      </c>
      <c r="T51" s="454">
        <f>'Эл-ты панельных ограждений - 1'!G46</f>
        <v>19.52</v>
      </c>
      <c r="U51" s="1618"/>
      <c r="V51" s="453">
        <f>'Эл-ты панельных ограждений - 1'!I46</f>
        <v>5505</v>
      </c>
      <c r="W51" s="2"/>
      <c r="AE51" s="2"/>
      <c r="AF51" s="2"/>
    </row>
    <row r="52" spans="1:32" customFormat="1" ht="21.95" customHeight="1" x14ac:dyDescent="0.3">
      <c r="A52" s="748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1455"/>
      <c r="N52" s="284"/>
      <c r="O52" s="1614"/>
      <c r="P52" s="1611"/>
      <c r="Q52" s="454">
        <f>'Эл-ты панельных ограждений - 1'!D47</f>
        <v>5</v>
      </c>
      <c r="R52" s="688" t="str">
        <f>'Эл-ты панельных ограждений - 1'!E47</f>
        <v>№ 2</v>
      </c>
      <c r="S52" s="688">
        <v>8</v>
      </c>
      <c r="T52" s="454">
        <f>'Эл-ты панельных ограждений - 1'!G47</f>
        <v>19.52</v>
      </c>
      <c r="U52" s="1619"/>
      <c r="V52" s="453">
        <f>'Эл-ты панельных ограждений - 1'!I47</f>
        <v>5602</v>
      </c>
      <c r="W52" s="2"/>
      <c r="AE52" s="2"/>
      <c r="AF52" s="2"/>
    </row>
    <row r="53" spans="1:32" customFormat="1" ht="21.95" customHeight="1" x14ac:dyDescent="0.3">
      <c r="A53" s="94" t="s">
        <v>64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1"/>
      <c r="N53" s="284"/>
      <c r="O53" s="1623" t="str">
        <f>'Эл-ты панельных ограждений - 1'!B48</f>
        <v>Крепление скоба - болт
(болт М6х25/85/100/110 + гайка антивандальная М6)</v>
      </c>
      <c r="P53" s="1624">
        <f>'Эл-ты панельных ограждений - 1'!C48</f>
        <v>0</v>
      </c>
      <c r="Q53" s="1620" t="str">
        <f>'Эл-ты панельных ограждений - 1'!D48</f>
        <v>-</v>
      </c>
      <c r="R53" s="1620" t="str">
        <f>'Эл-ты панельных ограждений - 1'!E48</f>
        <v>М6х25 - № 2
М6х85 - № 1,2,3,4
М6х110 - № 1,2,3</v>
      </c>
      <c r="S53" s="1620" t="str">
        <f>'Эл-ты панельных ограждений - 1'!F48</f>
        <v>оцинкованное  / с полимерным покрытием</v>
      </c>
      <c r="T53" s="1621">
        <f>'Эл-ты панельных ограждений - 1'!G48</f>
        <v>0.05</v>
      </c>
      <c r="U53" s="1620" t="str">
        <f>'Эл-ты панельных ограждений - 1'!H48</f>
        <v>пакет (кратность) - 4 шт
короб - 100 шт</v>
      </c>
      <c r="V53" s="1622">
        <f>'Эл-ты панельных ограждений - 1'!I48</f>
        <v>103</v>
      </c>
      <c r="W53" s="2"/>
      <c r="AE53" s="2"/>
      <c r="AF53" s="2"/>
    </row>
    <row r="54" spans="1:32" customFormat="1" ht="24.95" customHeight="1" x14ac:dyDescent="0.3">
      <c r="A54" s="160"/>
      <c r="B54" s="5"/>
      <c r="C54" s="5"/>
      <c r="D54" s="5"/>
      <c r="E54" s="5"/>
      <c r="F54" s="1"/>
      <c r="G54" s="161"/>
      <c r="H54" s="161"/>
      <c r="I54" s="161"/>
      <c r="J54" s="161"/>
      <c r="K54" s="161"/>
      <c r="L54" s="161"/>
      <c r="M54" s="161"/>
      <c r="N54" s="1"/>
      <c r="O54" s="1623"/>
      <c r="P54" s="1624"/>
      <c r="Q54" s="1620"/>
      <c r="R54" s="1620"/>
      <c r="S54" s="1620"/>
      <c r="T54" s="1621"/>
      <c r="U54" s="1620"/>
      <c r="V54" s="1622"/>
      <c r="W54" s="2"/>
      <c r="AE54" s="2"/>
      <c r="AF54" s="2"/>
    </row>
    <row r="55" spans="1:32" customFormat="1" ht="21.95" customHeight="1" x14ac:dyDescent="0.3">
      <c r="A55" s="75" t="s">
        <v>6</v>
      </c>
      <c r="B55" s="1589">
        <v>0</v>
      </c>
      <c r="C55" s="1590"/>
      <c r="D55" s="1590"/>
      <c r="E55" s="1591"/>
      <c r="F55" s="5"/>
      <c r="G55" s="5"/>
      <c r="H55" s="5"/>
      <c r="I55" s="5"/>
      <c r="J55" s="5"/>
      <c r="K55" s="5"/>
      <c r="L55" s="5"/>
      <c r="M55" s="1"/>
      <c r="N55" s="161"/>
      <c r="O55" s="1623"/>
      <c r="P55" s="1624"/>
      <c r="Q55" s="1620"/>
      <c r="R55" s="1620"/>
      <c r="S55" s="1620"/>
      <c r="T55" s="1621"/>
      <c r="U55" s="1620"/>
      <c r="V55" s="1622"/>
      <c r="W55" s="2"/>
      <c r="AE55" s="2"/>
      <c r="AF55" s="2"/>
    </row>
    <row r="56" spans="1:32" customFormat="1" ht="46.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"/>
      <c r="N56" s="1"/>
      <c r="O56" s="1"/>
      <c r="P56" s="163"/>
      <c r="Q56" s="163"/>
      <c r="R56" s="163"/>
      <c r="S56" s="164"/>
      <c r="T56" s="165"/>
      <c r="U56" s="164"/>
      <c r="V56" s="166"/>
      <c r="W56" s="2"/>
      <c r="AE56" s="2"/>
      <c r="AF56" s="2"/>
    </row>
    <row r="57" spans="1:32" customFormat="1" ht="40.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  <c r="N57" s="1"/>
      <c r="O57" s="161"/>
      <c r="W57" s="2"/>
      <c r="AE57" s="2"/>
      <c r="AF57" s="2"/>
    </row>
    <row r="58" spans="1:32" customFormat="1" ht="21.9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"/>
      <c r="N58" s="1"/>
      <c r="O58" s="1"/>
      <c r="W58" s="2"/>
      <c r="AE58" s="2"/>
      <c r="AF58" s="2"/>
    </row>
    <row r="59" spans="1:32" customFormat="1" ht="21.9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"/>
      <c r="N59" s="1"/>
      <c r="O59" s="1"/>
      <c r="W59" s="2"/>
      <c r="AE59" s="2"/>
      <c r="AF59" s="2"/>
    </row>
    <row r="60" spans="1:32" customFormat="1" ht="40.5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"/>
      <c r="N60" s="1"/>
      <c r="O60" s="1"/>
      <c r="W60" s="2"/>
      <c r="AE60" s="2"/>
      <c r="AF60" s="2"/>
    </row>
    <row r="61" spans="1:32" customFormat="1" ht="21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  <c r="W61" s="2"/>
      <c r="AE61" s="2"/>
      <c r="AF61" s="2"/>
    </row>
    <row r="62" spans="1:32" customFormat="1" ht="21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  <c r="W62" s="2"/>
      <c r="AE62" s="2"/>
      <c r="AF62" s="2"/>
    </row>
    <row r="63" spans="1:32" customFormat="1" ht="40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  <c r="W63" s="2"/>
      <c r="AE63" s="2"/>
      <c r="AF63" s="2"/>
    </row>
    <row r="64" spans="1:32" customFormat="1" ht="21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  <c r="W64" s="2"/>
      <c r="AE64" s="2"/>
      <c r="AF64" s="2"/>
    </row>
    <row r="65" spans="1:32" customFormat="1" ht="21.9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W65" s="2"/>
      <c r="AE65" s="2"/>
      <c r="AF65" s="2"/>
    </row>
    <row r="66" spans="1:32" customFormat="1" ht="21.9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7"/>
      <c r="W66" s="2"/>
      <c r="AE66" s="2"/>
      <c r="AF66" s="2"/>
    </row>
    <row r="67" spans="1:32" customFormat="1" ht="21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W67" s="2"/>
      <c r="AE67" s="2"/>
      <c r="AF67" s="2"/>
    </row>
    <row r="68" spans="1:32" customFormat="1" ht="21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W68" s="2"/>
      <c r="AE68" s="2"/>
      <c r="AF68" s="2"/>
    </row>
    <row r="69" spans="1:32" customFormat="1" ht="21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W69" s="2"/>
      <c r="AE69" s="2"/>
      <c r="AF69" s="2"/>
    </row>
    <row r="70" spans="1:32" customFormat="1" ht="21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W70" s="2"/>
      <c r="AE70" s="2"/>
      <c r="AF70" s="2"/>
    </row>
    <row r="71" spans="1:32" customFormat="1" ht="21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W71" s="2"/>
      <c r="AE71" s="2"/>
      <c r="AF71" s="2"/>
    </row>
    <row r="72" spans="1:32" customFormat="1" ht="21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W72" s="2"/>
      <c r="AE72" s="2"/>
      <c r="AF72" s="2"/>
    </row>
    <row r="73" spans="1:32" customFormat="1" ht="21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W73" s="2"/>
      <c r="AE73" s="2"/>
      <c r="AF73" s="2"/>
    </row>
    <row r="74" spans="1:32" customFormat="1" ht="21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W74" s="2"/>
      <c r="AE74" s="2"/>
      <c r="AF74" s="2"/>
    </row>
    <row r="75" spans="1:32" customFormat="1" ht="21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W75" s="2"/>
      <c r="AE75" s="2"/>
      <c r="AF75" s="2"/>
    </row>
    <row r="76" spans="1:32" customFormat="1" ht="21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W76" s="2"/>
      <c r="AE76" s="2"/>
      <c r="AF76" s="2"/>
    </row>
    <row r="77" spans="1:32" customFormat="1" ht="24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W77" s="2"/>
      <c r="AE77" s="2"/>
      <c r="AF77" s="2"/>
    </row>
    <row r="78" spans="1:32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W78" s="2"/>
      <c r="AE78" s="2"/>
      <c r="AF78" s="2"/>
    </row>
    <row r="79" spans="1:32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AE79" s="2"/>
      <c r="AF79" s="2"/>
    </row>
    <row r="80" spans="1:32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AE80" s="2"/>
      <c r="AF80" s="2"/>
    </row>
    <row r="81" spans="1:32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AE81" s="2"/>
      <c r="AF81" s="2"/>
    </row>
    <row r="82" spans="1:32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AE82" s="2"/>
      <c r="AF82" s="2"/>
    </row>
    <row r="83" spans="1:32" customFormat="1" ht="28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AE83" s="2"/>
      <c r="AF83" s="2"/>
    </row>
    <row r="90" spans="1:32" ht="32.25" customHeight="1" x14ac:dyDescent="0.2"/>
    <row r="91" spans="1:32" ht="108.75" customHeight="1" x14ac:dyDescent="0.2"/>
    <row r="98" ht="106.5" customHeight="1" x14ac:dyDescent="0.2"/>
  </sheetData>
  <sheetProtection formatCells="0" formatColumns="0" formatRows="0" insertColumns="0" insertRows="0" insertHyperlinks="0" deleteColumns="0" deleteRows="0" sort="0" autoFilter="0" pivotTables="0"/>
  <mergeCells count="43">
    <mergeCell ref="B55:E55"/>
    <mergeCell ref="S53:S55"/>
    <mergeCell ref="T53:T55"/>
    <mergeCell ref="U53:U55"/>
    <mergeCell ref="V53:V55"/>
    <mergeCell ref="R53:R55"/>
    <mergeCell ref="O53:O55"/>
    <mergeCell ref="P53:P55"/>
    <mergeCell ref="Q53:Q55"/>
    <mergeCell ref="P47:P52"/>
    <mergeCell ref="P45:P46"/>
    <mergeCell ref="U4:U16"/>
    <mergeCell ref="U17:U20"/>
    <mergeCell ref="U21:U39"/>
    <mergeCell ref="U45:U46"/>
    <mergeCell ref="U47:U52"/>
    <mergeCell ref="A39:M39"/>
    <mergeCell ref="F31:L34"/>
    <mergeCell ref="M32:M34"/>
    <mergeCell ref="F35:M37"/>
    <mergeCell ref="A37:E37"/>
    <mergeCell ref="A38:D38"/>
    <mergeCell ref="D2:G2"/>
    <mergeCell ref="E3:E4"/>
    <mergeCell ref="F3:F4"/>
    <mergeCell ref="G3:H3"/>
    <mergeCell ref="A3:A4"/>
    <mergeCell ref="A5:A15"/>
    <mergeCell ref="I3:K3"/>
    <mergeCell ref="I4:J4"/>
    <mergeCell ref="L3:M3"/>
    <mergeCell ref="P4:P16"/>
    <mergeCell ref="B3:B4"/>
    <mergeCell ref="C3:C4"/>
    <mergeCell ref="D3:D4"/>
    <mergeCell ref="O4:O20"/>
    <mergeCell ref="P17:P20"/>
    <mergeCell ref="A18:A30"/>
    <mergeCell ref="O21:O52"/>
    <mergeCell ref="P21:P39"/>
    <mergeCell ref="M44:M52"/>
    <mergeCell ref="A41:M41"/>
    <mergeCell ref="A42:M42"/>
  </mergeCells>
  <conditionalFormatting sqref="A31:A35">
    <cfRule type="cellIs" dxfId="11" priority="1" operator="equal">
      <formula>0</formula>
    </cfRule>
  </conditionalFormatting>
  <conditionalFormatting sqref="A54">
    <cfRule type="cellIs" dxfId="10" priority="10" operator="equal">
      <formula>0</formula>
    </cfRule>
  </conditionalFormatting>
  <conditionalFormatting sqref="G3:H30">
    <cfRule type="cellIs" dxfId="9" priority="3" operator="equal">
      <formula>0</formula>
    </cfRule>
  </conditionalFormatting>
  <conditionalFormatting sqref="G1:I1 H2:I2 G55:I65541">
    <cfRule type="cellIs" dxfId="8" priority="11" operator="equal">
      <formula>0</formula>
    </cfRule>
  </conditionalFormatting>
  <conditionalFormatting sqref="G45:I50 G52:I53">
    <cfRule type="cellIs" dxfId="7" priority="8" operator="equal">
      <formula>0</formula>
    </cfRule>
  </conditionalFormatting>
  <printOptions horizontalCentered="1"/>
  <pageMargins left="3.937007874015748E-2" right="3.937007874015748E-2" top="3.937007874015748E-2" bottom="3.937007874015748E-2" header="0.31496062992125984" footer="0.31496062992125984"/>
  <pageSetup paperSize="9" scale="43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C00000"/>
    <pageSetUpPr fitToPage="1"/>
  </sheetPr>
  <dimension ref="A1:U82"/>
  <sheetViews>
    <sheetView showGridLines="0" zoomScale="55" zoomScaleNormal="55" zoomScaleSheetLayoutView="40" zoomScalePageLayoutView="40" workbookViewId="0">
      <selection activeCell="I2" sqref="I2"/>
    </sheetView>
  </sheetViews>
  <sheetFormatPr defaultRowHeight="23.25" x14ac:dyDescent="0.2"/>
  <cols>
    <col min="1" max="1" width="38.140625" style="1" customWidth="1"/>
    <col min="2" max="2" width="67.7109375" style="1" customWidth="1"/>
    <col min="3" max="4" width="20.7109375" style="1" customWidth="1"/>
    <col min="5" max="5" width="25.7109375" style="1" customWidth="1"/>
    <col min="6" max="6" width="26.7109375" style="1" customWidth="1"/>
    <col min="7" max="7" width="15.7109375" style="1" customWidth="1"/>
    <col min="8" max="9" width="30.7109375" style="1" customWidth="1"/>
    <col min="10" max="10" width="13.140625" style="265" hidden="1" customWidth="1"/>
    <col min="11" max="13" width="19.140625" style="347" hidden="1" customWidth="1"/>
    <col min="14" max="14" width="17.5703125" style="1" customWidth="1"/>
    <col min="15" max="15" width="19.5703125" style="1" customWidth="1"/>
    <col min="16" max="16" width="11.5703125" style="1" bestFit="1" customWidth="1"/>
    <col min="17" max="17" width="14.7109375" style="1" bestFit="1" customWidth="1"/>
    <col min="18" max="18" width="10.85546875" style="1" bestFit="1" customWidth="1"/>
    <col min="19" max="20" width="9.140625" style="1"/>
    <col min="21" max="21" width="13.5703125" style="1" customWidth="1"/>
    <col min="22" max="16384" width="9.140625" style="1"/>
  </cols>
  <sheetData>
    <row r="1" spans="1:21" ht="75.75" customHeight="1" x14ac:dyDescent="0.4">
      <c r="C1" s="89"/>
      <c r="D1" s="89"/>
      <c r="E1" s="89"/>
      <c r="F1" s="89"/>
      <c r="G1" s="89"/>
      <c r="H1" s="89"/>
      <c r="I1" s="89"/>
      <c r="J1" s="264"/>
      <c r="K1" s="345"/>
      <c r="L1" s="345"/>
      <c r="M1" s="345"/>
      <c r="N1" s="19"/>
      <c r="O1" s="19"/>
      <c r="P1" s="19"/>
      <c r="Q1" s="19"/>
      <c r="R1" s="19"/>
      <c r="S1" s="19"/>
      <c r="T1" s="19"/>
      <c r="U1" s="19"/>
    </row>
    <row r="2" spans="1:21" ht="33" customHeight="1" x14ac:dyDescent="0.3">
      <c r="C2" s="140" t="s">
        <v>160</v>
      </c>
      <c r="D2" s="138"/>
      <c r="E2" s="138"/>
      <c r="F2" s="138"/>
      <c r="G2" s="138"/>
      <c r="H2" s="158" t="s">
        <v>132</v>
      </c>
      <c r="I2" s="348">
        <f>'Панельные ограждения GL (стр.1)'!N2</f>
        <v>46197</v>
      </c>
      <c r="J2" s="348"/>
      <c r="K2" s="346"/>
      <c r="L2" s="346"/>
      <c r="M2" s="346"/>
      <c r="N2" s="5"/>
      <c r="O2" s="5"/>
      <c r="P2" s="5"/>
      <c r="Q2" s="5"/>
      <c r="R2" s="5"/>
      <c r="S2" s="5"/>
      <c r="T2" s="5"/>
      <c r="U2" s="5"/>
    </row>
    <row r="3" spans="1:21" ht="60" customHeight="1" x14ac:dyDescent="0.3">
      <c r="A3" s="224" t="s">
        <v>76</v>
      </c>
      <c r="B3" s="1597" t="s">
        <v>71</v>
      </c>
      <c r="C3" s="1598"/>
      <c r="D3" s="224" t="s">
        <v>81</v>
      </c>
      <c r="E3" s="227" t="s">
        <v>169</v>
      </c>
      <c r="F3" s="224" t="s">
        <v>79</v>
      </c>
      <c r="G3" s="224" t="s">
        <v>12</v>
      </c>
      <c r="H3" s="224" t="s">
        <v>80</v>
      </c>
      <c r="I3" s="226" t="s">
        <v>351</v>
      </c>
      <c r="J3" s="357" t="s">
        <v>10</v>
      </c>
      <c r="K3" s="358" t="s">
        <v>318</v>
      </c>
      <c r="L3" s="358" t="s">
        <v>386</v>
      </c>
      <c r="M3" s="358" t="s">
        <v>385</v>
      </c>
      <c r="N3" s="5"/>
      <c r="O3" s="5"/>
      <c r="P3" s="5"/>
      <c r="Q3" s="5"/>
      <c r="R3" s="5"/>
      <c r="S3" s="5"/>
      <c r="T3" s="5"/>
    </row>
    <row r="4" spans="1:21" ht="20.25" customHeight="1" x14ac:dyDescent="0.3">
      <c r="A4" s="1556"/>
      <c r="B4" s="1564" t="s">
        <v>715</v>
      </c>
      <c r="C4" s="1608" t="s">
        <v>669</v>
      </c>
      <c r="D4" s="71">
        <v>1.1000000000000001</v>
      </c>
      <c r="E4" s="126"/>
      <c r="F4" s="99">
        <v>2</v>
      </c>
      <c r="G4" s="115">
        <v>2.9810000000000003</v>
      </c>
      <c r="H4" s="1603">
        <v>96</v>
      </c>
      <c r="I4" s="77">
        <f t="shared" ref="I4:I20" si="0">ROUND(J4*BelarusV_LFzn*(1-$B$77),2)</f>
        <v>817</v>
      </c>
      <c r="J4" s="307">
        <f>ROUND((K4+M4)*L4*G4,0)</f>
        <v>817</v>
      </c>
      <c r="K4" s="619">
        <v>247</v>
      </c>
      <c r="L4" s="356">
        <v>1.1100000000000001</v>
      </c>
      <c r="M4" s="356"/>
      <c r="N4" s="359"/>
      <c r="O4" s="449"/>
      <c r="P4" s="246"/>
      <c r="Q4" s="450"/>
      <c r="R4" s="5"/>
      <c r="S4" s="5"/>
      <c r="T4" s="5"/>
    </row>
    <row r="5" spans="1:21" x14ac:dyDescent="0.3">
      <c r="A5" s="1556"/>
      <c r="B5" s="1564"/>
      <c r="C5" s="1608"/>
      <c r="D5" s="52">
        <v>1.3</v>
      </c>
      <c r="E5" s="127"/>
      <c r="F5" s="97">
        <v>2</v>
      </c>
      <c r="G5" s="59">
        <v>3.5230000000000001</v>
      </c>
      <c r="H5" s="1603"/>
      <c r="I5" s="77">
        <f t="shared" si="0"/>
        <v>966</v>
      </c>
      <c r="J5" s="307">
        <f t="shared" ref="J5:J47" si="1">ROUND((K5+M5)*L5*G5,0)</f>
        <v>966</v>
      </c>
      <c r="K5" s="620">
        <f>$K$4</f>
        <v>247</v>
      </c>
      <c r="L5" s="356">
        <v>1.1100000000000001</v>
      </c>
      <c r="M5" s="356"/>
      <c r="N5" s="359"/>
      <c r="O5" s="449"/>
      <c r="P5" s="246"/>
      <c r="Q5" s="450"/>
      <c r="R5" s="5"/>
      <c r="S5" s="5"/>
      <c r="T5" s="5"/>
    </row>
    <row r="6" spans="1:21" x14ac:dyDescent="0.3">
      <c r="A6" s="1556"/>
      <c r="B6" s="1564"/>
      <c r="C6" s="1608"/>
      <c r="D6" s="52">
        <v>1.5</v>
      </c>
      <c r="E6" s="127"/>
      <c r="F6" s="97">
        <v>2</v>
      </c>
      <c r="G6" s="59">
        <v>4.0599999999999996</v>
      </c>
      <c r="H6" s="1603"/>
      <c r="I6" s="77">
        <f t="shared" si="0"/>
        <v>1113</v>
      </c>
      <c r="J6" s="307">
        <f t="shared" si="1"/>
        <v>1113</v>
      </c>
      <c r="K6" s="620">
        <f t="shared" ref="K6:K20" si="2">$K$4</f>
        <v>247</v>
      </c>
      <c r="L6" s="356">
        <v>1.1100000000000001</v>
      </c>
      <c r="M6" s="356"/>
      <c r="N6" s="359"/>
      <c r="O6" s="449"/>
      <c r="P6" s="246"/>
      <c r="Q6" s="450"/>
      <c r="R6" s="5"/>
      <c r="S6" s="5"/>
      <c r="T6" s="5"/>
    </row>
    <row r="7" spans="1:21" x14ac:dyDescent="0.3">
      <c r="A7" s="1556"/>
      <c r="B7" s="1564"/>
      <c r="C7" s="1608"/>
      <c r="D7" s="52">
        <v>1.7</v>
      </c>
      <c r="E7" s="127"/>
      <c r="F7" s="97">
        <v>2</v>
      </c>
      <c r="G7" s="59">
        <v>4.5999999999999996</v>
      </c>
      <c r="H7" s="1603"/>
      <c r="I7" s="77">
        <f t="shared" si="0"/>
        <v>1261</v>
      </c>
      <c r="J7" s="307">
        <f t="shared" si="1"/>
        <v>1261</v>
      </c>
      <c r="K7" s="620">
        <f t="shared" si="2"/>
        <v>247</v>
      </c>
      <c r="L7" s="356">
        <v>1.1100000000000001</v>
      </c>
      <c r="M7" s="356"/>
      <c r="N7" s="359"/>
      <c r="O7" s="449"/>
      <c r="P7" s="246"/>
      <c r="Q7" s="450"/>
      <c r="R7" s="5"/>
      <c r="S7" s="5"/>
      <c r="T7" s="5"/>
    </row>
    <row r="8" spans="1:21" x14ac:dyDescent="0.3">
      <c r="A8" s="1556"/>
      <c r="B8" s="1564"/>
      <c r="C8" s="1608"/>
      <c r="D8" s="52">
        <v>1.9</v>
      </c>
      <c r="E8" s="127"/>
      <c r="F8" s="97">
        <v>2</v>
      </c>
      <c r="G8" s="59">
        <v>5.149</v>
      </c>
      <c r="H8" s="1603"/>
      <c r="I8" s="77">
        <f t="shared" si="0"/>
        <v>1412</v>
      </c>
      <c r="J8" s="307">
        <f t="shared" si="1"/>
        <v>1412</v>
      </c>
      <c r="K8" s="620">
        <f t="shared" si="2"/>
        <v>247</v>
      </c>
      <c r="L8" s="356">
        <v>1.1100000000000001</v>
      </c>
      <c r="M8" s="356"/>
      <c r="N8" s="359"/>
      <c r="O8" s="449"/>
      <c r="P8" s="246"/>
      <c r="Q8" s="450"/>
      <c r="R8" s="5"/>
      <c r="S8" s="5"/>
      <c r="T8" s="5"/>
    </row>
    <row r="9" spans="1:21" x14ac:dyDescent="0.3">
      <c r="A9" s="1556"/>
      <c r="B9" s="1564"/>
      <c r="C9" s="1608"/>
      <c r="D9" s="52">
        <v>2</v>
      </c>
      <c r="E9" s="127"/>
      <c r="F9" s="97">
        <v>3</v>
      </c>
      <c r="G9" s="59">
        <v>5.42</v>
      </c>
      <c r="H9" s="1603"/>
      <c r="I9" s="77">
        <f t="shared" si="0"/>
        <v>1339</v>
      </c>
      <c r="J9" s="307">
        <f t="shared" si="1"/>
        <v>1339</v>
      </c>
      <c r="K9" s="620">
        <f t="shared" si="2"/>
        <v>247</v>
      </c>
      <c r="L9" s="250">
        <v>1</v>
      </c>
      <c r="M9" s="356"/>
      <c r="N9" s="359"/>
      <c r="O9" s="449"/>
      <c r="P9" s="246"/>
      <c r="Q9" s="450"/>
      <c r="R9" s="5"/>
      <c r="S9" s="5"/>
      <c r="T9" s="5"/>
    </row>
    <row r="10" spans="1:21" x14ac:dyDescent="0.3">
      <c r="A10" s="1556"/>
      <c r="B10" s="1564"/>
      <c r="C10" s="1608"/>
      <c r="D10" s="52">
        <v>2.2000000000000002</v>
      </c>
      <c r="E10" s="127"/>
      <c r="F10" s="97">
        <v>3</v>
      </c>
      <c r="G10" s="59">
        <v>5.98</v>
      </c>
      <c r="H10" s="1603"/>
      <c r="I10" s="77">
        <f t="shared" si="0"/>
        <v>1477</v>
      </c>
      <c r="J10" s="307">
        <f t="shared" si="1"/>
        <v>1477</v>
      </c>
      <c r="K10" s="620">
        <f t="shared" si="2"/>
        <v>247</v>
      </c>
      <c r="L10" s="250">
        <v>1</v>
      </c>
      <c r="M10" s="356"/>
      <c r="N10" s="359"/>
      <c r="O10" s="449"/>
      <c r="P10" s="246"/>
      <c r="Q10" s="450"/>
      <c r="R10" s="5"/>
      <c r="S10" s="5"/>
      <c r="T10" s="5"/>
    </row>
    <row r="11" spans="1:21" x14ac:dyDescent="0.3">
      <c r="A11" s="1556"/>
      <c r="B11" s="1564"/>
      <c r="C11" s="1608"/>
      <c r="D11" s="52">
        <v>2.4</v>
      </c>
      <c r="E11" s="127"/>
      <c r="F11" s="97">
        <v>3</v>
      </c>
      <c r="G11" s="59">
        <v>6.5039999999999996</v>
      </c>
      <c r="H11" s="1603"/>
      <c r="I11" s="77">
        <f t="shared" si="0"/>
        <v>1606</v>
      </c>
      <c r="J11" s="307">
        <f t="shared" si="1"/>
        <v>1606</v>
      </c>
      <c r="K11" s="620">
        <f t="shared" si="2"/>
        <v>247</v>
      </c>
      <c r="L11" s="250">
        <v>1</v>
      </c>
      <c r="M11" s="356"/>
      <c r="N11" s="359"/>
      <c r="O11" s="449"/>
      <c r="P11" s="246"/>
      <c r="Q11" s="450"/>
      <c r="R11" s="5"/>
      <c r="S11" s="5"/>
      <c r="T11" s="5"/>
    </row>
    <row r="12" spans="1:21" x14ac:dyDescent="0.3">
      <c r="A12" s="1556"/>
      <c r="B12" s="1564"/>
      <c r="C12" s="1608"/>
      <c r="D12" s="52">
        <v>2.5</v>
      </c>
      <c r="E12" s="127"/>
      <c r="F12" s="97">
        <v>4</v>
      </c>
      <c r="G12" s="59">
        <v>6.79</v>
      </c>
      <c r="H12" s="1603"/>
      <c r="I12" s="77">
        <f t="shared" si="0"/>
        <v>1677</v>
      </c>
      <c r="J12" s="307">
        <f t="shared" si="1"/>
        <v>1677</v>
      </c>
      <c r="K12" s="620">
        <f t="shared" si="2"/>
        <v>247</v>
      </c>
      <c r="L12" s="250">
        <v>1</v>
      </c>
      <c r="M12" s="356"/>
      <c r="N12" s="359"/>
      <c r="O12" s="449"/>
      <c r="P12" s="246"/>
      <c r="Q12" s="450"/>
      <c r="R12" s="5"/>
      <c r="S12" s="5"/>
      <c r="T12" s="5"/>
    </row>
    <row r="13" spans="1:21" x14ac:dyDescent="0.3">
      <c r="A13" s="1556"/>
      <c r="B13" s="319"/>
      <c r="C13" s="1608"/>
      <c r="D13" s="52">
        <v>2.5</v>
      </c>
      <c r="E13" s="127" t="s">
        <v>271</v>
      </c>
      <c r="F13" s="97">
        <v>5</v>
      </c>
      <c r="G13" s="59">
        <v>6.77</v>
      </c>
      <c r="H13" s="1603"/>
      <c r="I13" s="77">
        <f t="shared" si="0"/>
        <v>1672</v>
      </c>
      <c r="J13" s="307">
        <f t="shared" si="1"/>
        <v>1672</v>
      </c>
      <c r="K13" s="620">
        <f t="shared" si="2"/>
        <v>247</v>
      </c>
      <c r="L13" s="250">
        <v>1</v>
      </c>
      <c r="M13" s="356"/>
      <c r="N13" s="359"/>
      <c r="O13" s="449"/>
      <c r="P13" s="246"/>
      <c r="Q13" s="450"/>
      <c r="R13" s="5"/>
      <c r="S13" s="5"/>
      <c r="T13" s="5"/>
    </row>
    <row r="14" spans="1:21" x14ac:dyDescent="0.3">
      <c r="A14" s="1556"/>
      <c r="B14" s="1558" t="s">
        <v>170</v>
      </c>
      <c r="C14" s="1608"/>
      <c r="D14" s="52">
        <v>3</v>
      </c>
      <c r="E14" s="127"/>
      <c r="F14" s="97">
        <v>4</v>
      </c>
      <c r="G14" s="59">
        <v>8.1199999999999992</v>
      </c>
      <c r="H14" s="1603"/>
      <c r="I14" s="77">
        <f t="shared" si="0"/>
        <v>2006</v>
      </c>
      <c r="J14" s="307">
        <f t="shared" si="1"/>
        <v>2006</v>
      </c>
      <c r="K14" s="620">
        <f t="shared" si="2"/>
        <v>247</v>
      </c>
      <c r="L14" s="250">
        <v>1</v>
      </c>
      <c r="M14" s="356"/>
      <c r="N14" s="359"/>
      <c r="O14" s="449"/>
      <c r="P14" s="246"/>
      <c r="Q14" s="450"/>
      <c r="R14" s="5"/>
      <c r="S14" s="5"/>
      <c r="T14" s="5"/>
    </row>
    <row r="15" spans="1:21" x14ac:dyDescent="0.3">
      <c r="A15" s="1556"/>
      <c r="B15" s="1558"/>
      <c r="C15" s="1608"/>
      <c r="D15" s="52">
        <v>3</v>
      </c>
      <c r="E15" s="127" t="s">
        <v>271</v>
      </c>
      <c r="F15" s="109">
        <v>5</v>
      </c>
      <c r="G15" s="59">
        <v>8.1199999999999992</v>
      </c>
      <c r="H15" s="1603"/>
      <c r="I15" s="524">
        <f t="shared" si="0"/>
        <v>2006</v>
      </c>
      <c r="J15" s="307">
        <f t="shared" si="1"/>
        <v>2006</v>
      </c>
      <c r="K15" s="620">
        <f t="shared" si="2"/>
        <v>247</v>
      </c>
      <c r="L15" s="250">
        <v>1</v>
      </c>
      <c r="M15" s="356"/>
      <c r="N15" s="359"/>
      <c r="O15" s="449"/>
      <c r="P15" s="246"/>
      <c r="Q15" s="450"/>
      <c r="R15" s="5"/>
      <c r="S15" s="5"/>
      <c r="T15" s="5"/>
    </row>
    <row r="16" spans="1:21" x14ac:dyDescent="0.3">
      <c r="A16" s="1556"/>
      <c r="B16" s="1558"/>
      <c r="C16" s="1608"/>
      <c r="D16" s="53">
        <v>4</v>
      </c>
      <c r="E16" s="128"/>
      <c r="F16" s="98">
        <v>6</v>
      </c>
      <c r="G16" s="60">
        <v>11.06</v>
      </c>
      <c r="H16" s="1603"/>
      <c r="I16" s="78">
        <f t="shared" si="0"/>
        <v>2732</v>
      </c>
      <c r="J16" s="307">
        <f t="shared" si="1"/>
        <v>2732</v>
      </c>
      <c r="K16" s="620">
        <f t="shared" si="2"/>
        <v>247</v>
      </c>
      <c r="L16" s="250">
        <v>1</v>
      </c>
      <c r="M16" s="356"/>
      <c r="N16" s="359"/>
      <c r="O16" s="449"/>
      <c r="P16" s="246"/>
      <c r="Q16" s="450"/>
      <c r="R16" s="5"/>
      <c r="S16" s="5"/>
      <c r="T16" s="5"/>
    </row>
    <row r="17" spans="1:20" x14ac:dyDescent="0.3">
      <c r="A17" s="1556"/>
      <c r="B17" s="1558"/>
      <c r="C17" s="1560" t="s">
        <v>668</v>
      </c>
      <c r="D17" s="52">
        <v>4</v>
      </c>
      <c r="E17" s="127"/>
      <c r="F17" s="97" t="s">
        <v>382</v>
      </c>
      <c r="G17" s="59">
        <v>15.53</v>
      </c>
      <c r="H17" s="1629">
        <v>64</v>
      </c>
      <c r="I17" s="525">
        <f t="shared" si="0"/>
        <v>3836</v>
      </c>
      <c r="J17" s="307">
        <f t="shared" si="1"/>
        <v>3836</v>
      </c>
      <c r="K17" s="620">
        <f t="shared" si="2"/>
        <v>247</v>
      </c>
      <c r="L17" s="250">
        <v>1</v>
      </c>
      <c r="M17" s="356"/>
      <c r="N17" s="359"/>
      <c r="O17" s="449"/>
      <c r="P17" s="5"/>
      <c r="Q17" s="450"/>
      <c r="R17" s="5"/>
      <c r="S17" s="5"/>
      <c r="T17" s="5"/>
    </row>
    <row r="18" spans="1:20" x14ac:dyDescent="0.3">
      <c r="A18" s="1556"/>
      <c r="B18" s="1558"/>
      <c r="C18" s="1561"/>
      <c r="D18" s="130">
        <v>4</v>
      </c>
      <c r="E18" s="129"/>
      <c r="F18" s="109" t="s">
        <v>381</v>
      </c>
      <c r="G18" s="117">
        <v>15.53</v>
      </c>
      <c r="H18" s="1630"/>
      <c r="I18" s="526">
        <f t="shared" si="0"/>
        <v>3914</v>
      </c>
      <c r="J18" s="307">
        <f t="shared" si="1"/>
        <v>3914</v>
      </c>
      <c r="K18" s="620">
        <f t="shared" si="2"/>
        <v>247</v>
      </c>
      <c r="L18" s="250">
        <v>1</v>
      </c>
      <c r="M18" s="356">
        <v>5</v>
      </c>
      <c r="N18" s="359"/>
      <c r="O18" s="449"/>
      <c r="P18" s="5"/>
      <c r="Q18" s="450"/>
      <c r="R18" s="5"/>
      <c r="S18" s="5"/>
      <c r="T18" s="5"/>
    </row>
    <row r="19" spans="1:20" x14ac:dyDescent="0.3">
      <c r="A19" s="1556"/>
      <c r="B19" s="1558"/>
      <c r="C19" s="1561"/>
      <c r="D19" s="130">
        <v>5</v>
      </c>
      <c r="E19" s="129"/>
      <c r="F19" s="109" t="s">
        <v>383</v>
      </c>
      <c r="G19" s="117">
        <v>19.52</v>
      </c>
      <c r="H19" s="1630" t="s">
        <v>447</v>
      </c>
      <c r="I19" s="526">
        <f t="shared" si="0"/>
        <v>4821</v>
      </c>
      <c r="J19" s="307">
        <f t="shared" si="1"/>
        <v>4821</v>
      </c>
      <c r="K19" s="620">
        <f t="shared" si="2"/>
        <v>247</v>
      </c>
      <c r="L19" s="250">
        <v>1</v>
      </c>
      <c r="M19" s="356"/>
      <c r="N19" s="359"/>
      <c r="O19" s="449"/>
      <c r="P19" s="5"/>
      <c r="Q19" s="450"/>
      <c r="R19" s="5"/>
      <c r="S19" s="5"/>
      <c r="T19" s="5"/>
    </row>
    <row r="20" spans="1:20" x14ac:dyDescent="0.3">
      <c r="A20" s="1556"/>
      <c r="B20" s="1559"/>
      <c r="C20" s="1562"/>
      <c r="D20" s="53">
        <v>5</v>
      </c>
      <c r="E20" s="128"/>
      <c r="F20" s="98" t="s">
        <v>384</v>
      </c>
      <c r="G20" s="60">
        <v>19.52</v>
      </c>
      <c r="H20" s="1631"/>
      <c r="I20" s="78">
        <f t="shared" si="0"/>
        <v>4919</v>
      </c>
      <c r="J20" s="307">
        <f t="shared" si="1"/>
        <v>4919</v>
      </c>
      <c r="K20" s="620">
        <f t="shared" si="2"/>
        <v>247</v>
      </c>
      <c r="L20" s="250">
        <v>1</v>
      </c>
      <c r="M20" s="356">
        <v>5</v>
      </c>
      <c r="N20" s="359"/>
      <c r="O20" s="449"/>
      <c r="P20" s="5"/>
      <c r="Q20" s="450"/>
      <c r="R20" s="5"/>
      <c r="S20" s="5"/>
      <c r="T20" s="5"/>
    </row>
    <row r="21" spans="1:20" ht="20.25" customHeight="1" x14ac:dyDescent="0.3">
      <c r="A21" s="1556"/>
      <c r="B21" s="1563" t="s">
        <v>716</v>
      </c>
      <c r="C21" s="1565" t="s">
        <v>669</v>
      </c>
      <c r="D21" s="54">
        <v>1</v>
      </c>
      <c r="E21" s="125"/>
      <c r="F21" s="96" t="s">
        <v>18</v>
      </c>
      <c r="G21" s="58">
        <v>2.71</v>
      </c>
      <c r="H21" s="1555">
        <v>96</v>
      </c>
      <c r="I21" s="76">
        <f t="shared" ref="I21:I56" si="3">ROUND(J21*BelarusV_LFpe*(1-$B$77),2)</f>
        <v>833</v>
      </c>
      <c r="J21" s="307">
        <f>ROUND((K21+M21)*L21*G21,0)</f>
        <v>833</v>
      </c>
      <c r="K21" s="619">
        <v>282</v>
      </c>
      <c r="L21" s="356">
        <v>1.1100000000000001</v>
      </c>
      <c r="M21" s="356">
        <v>-5</v>
      </c>
      <c r="N21" s="359"/>
      <c r="O21" s="449"/>
      <c r="P21" s="246"/>
      <c r="Q21" s="450"/>
      <c r="R21" s="5"/>
      <c r="S21" s="5"/>
      <c r="T21" s="5"/>
    </row>
    <row r="22" spans="1:20" ht="20.25" customHeight="1" x14ac:dyDescent="0.3">
      <c r="A22" s="1556"/>
      <c r="B22" s="1564"/>
      <c r="C22" s="1566"/>
      <c r="D22" s="71">
        <v>1.1000000000000001</v>
      </c>
      <c r="E22" s="126"/>
      <c r="F22" s="99">
        <v>2</v>
      </c>
      <c r="G22" s="115">
        <v>2.9810000000000003</v>
      </c>
      <c r="H22" s="1556"/>
      <c r="I22" s="116">
        <f t="shared" si="3"/>
        <v>933</v>
      </c>
      <c r="J22" s="307">
        <f t="shared" si="1"/>
        <v>933</v>
      </c>
      <c r="K22" s="620">
        <f>$K$21</f>
        <v>282</v>
      </c>
      <c r="L22" s="356">
        <v>1.1100000000000001</v>
      </c>
      <c r="M22" s="356"/>
      <c r="N22" s="359"/>
      <c r="O22" s="449"/>
      <c r="P22" s="246"/>
      <c r="Q22" s="450"/>
      <c r="R22" s="5"/>
      <c r="S22" s="5"/>
      <c r="T22" s="5"/>
    </row>
    <row r="23" spans="1:20" x14ac:dyDescent="0.3">
      <c r="A23" s="1556"/>
      <c r="B23" s="1564"/>
      <c r="C23" s="1567"/>
      <c r="D23" s="52">
        <v>1.3</v>
      </c>
      <c r="E23" s="127"/>
      <c r="F23" s="97">
        <v>2</v>
      </c>
      <c r="G23" s="59">
        <v>3.5230000000000001</v>
      </c>
      <c r="H23" s="1556"/>
      <c r="I23" s="77">
        <f t="shared" si="3"/>
        <v>1103</v>
      </c>
      <c r="J23" s="307">
        <f t="shared" si="1"/>
        <v>1103</v>
      </c>
      <c r="K23" s="620">
        <f t="shared" ref="K23:K39" si="4">$K$21</f>
        <v>282</v>
      </c>
      <c r="L23" s="356">
        <v>1.1100000000000001</v>
      </c>
      <c r="M23" s="356"/>
      <c r="N23" s="359"/>
      <c r="O23" s="449"/>
      <c r="P23" s="246"/>
      <c r="Q23" s="450"/>
      <c r="R23" s="5"/>
      <c r="S23" s="5"/>
      <c r="T23" s="5"/>
    </row>
    <row r="24" spans="1:20" x14ac:dyDescent="0.3">
      <c r="A24" s="1556"/>
      <c r="B24" s="1564"/>
      <c r="C24" s="1567"/>
      <c r="D24" s="52">
        <v>1.5</v>
      </c>
      <c r="E24" s="127"/>
      <c r="F24" s="97" t="s">
        <v>18</v>
      </c>
      <c r="G24" s="59">
        <v>4.0649999999999995</v>
      </c>
      <c r="H24" s="1556"/>
      <c r="I24" s="77">
        <f t="shared" si="3"/>
        <v>1250</v>
      </c>
      <c r="J24" s="307">
        <f t="shared" si="1"/>
        <v>1250</v>
      </c>
      <c r="K24" s="620">
        <f t="shared" si="4"/>
        <v>282</v>
      </c>
      <c r="L24" s="356">
        <v>1.1100000000000001</v>
      </c>
      <c r="M24" s="356">
        <v>-5</v>
      </c>
      <c r="N24" s="359"/>
      <c r="O24" s="449"/>
      <c r="P24" s="246"/>
      <c r="Q24" s="450"/>
      <c r="R24" s="5"/>
      <c r="S24" s="5"/>
      <c r="T24" s="5"/>
    </row>
    <row r="25" spans="1:20" x14ac:dyDescent="0.3">
      <c r="A25" s="1556"/>
      <c r="B25" s="1564"/>
      <c r="C25" s="1567"/>
      <c r="D25" s="52">
        <v>1.5</v>
      </c>
      <c r="E25" s="127"/>
      <c r="F25" s="97">
        <v>2</v>
      </c>
      <c r="G25" s="59">
        <v>4.0599999999999996</v>
      </c>
      <c r="H25" s="1556"/>
      <c r="I25" s="77">
        <f t="shared" si="3"/>
        <v>1271</v>
      </c>
      <c r="J25" s="307">
        <f t="shared" si="1"/>
        <v>1271</v>
      </c>
      <c r="K25" s="620">
        <f t="shared" si="4"/>
        <v>282</v>
      </c>
      <c r="L25" s="356">
        <v>1.1100000000000001</v>
      </c>
      <c r="M25" s="356"/>
      <c r="N25" s="359"/>
      <c r="O25" s="449"/>
      <c r="P25" s="246"/>
      <c r="Q25" s="450"/>
      <c r="R25" s="5"/>
      <c r="S25" s="5"/>
      <c r="T25" s="5"/>
    </row>
    <row r="26" spans="1:20" x14ac:dyDescent="0.3">
      <c r="A26" s="1556"/>
      <c r="B26" s="1564"/>
      <c r="C26" s="1567"/>
      <c r="D26" s="52">
        <v>1.7</v>
      </c>
      <c r="E26" s="127"/>
      <c r="F26" s="97">
        <v>2</v>
      </c>
      <c r="G26" s="59">
        <v>4.5999999999999996</v>
      </c>
      <c r="H26" s="1556"/>
      <c r="I26" s="77">
        <f t="shared" si="3"/>
        <v>1440</v>
      </c>
      <c r="J26" s="307">
        <f t="shared" si="1"/>
        <v>1440</v>
      </c>
      <c r="K26" s="620">
        <f t="shared" si="4"/>
        <v>282</v>
      </c>
      <c r="L26" s="356">
        <v>1.1100000000000001</v>
      </c>
      <c r="M26" s="356"/>
      <c r="N26" s="359"/>
      <c r="O26" s="449"/>
      <c r="P26" s="246"/>
      <c r="Q26" s="450"/>
      <c r="R26" s="5"/>
      <c r="S26" s="5"/>
      <c r="T26" s="5"/>
    </row>
    <row r="27" spans="1:20" x14ac:dyDescent="0.3">
      <c r="A27" s="1556"/>
      <c r="B27" s="1564"/>
      <c r="C27" s="1567"/>
      <c r="D27" s="52">
        <v>1.9</v>
      </c>
      <c r="E27" s="127"/>
      <c r="F27" s="97">
        <v>2</v>
      </c>
      <c r="G27" s="59">
        <v>5.149</v>
      </c>
      <c r="H27" s="1556"/>
      <c r="I27" s="77">
        <f t="shared" si="3"/>
        <v>1612</v>
      </c>
      <c r="J27" s="307">
        <f t="shared" si="1"/>
        <v>1612</v>
      </c>
      <c r="K27" s="620">
        <f t="shared" si="4"/>
        <v>282</v>
      </c>
      <c r="L27" s="356">
        <v>1.1100000000000001</v>
      </c>
      <c r="M27" s="356"/>
      <c r="N27" s="359"/>
      <c r="O27" s="449"/>
      <c r="P27" s="246"/>
      <c r="Q27" s="450"/>
      <c r="R27" s="5"/>
      <c r="S27" s="5"/>
      <c r="T27" s="5"/>
    </row>
    <row r="28" spans="1:20" x14ac:dyDescent="0.3">
      <c r="A28" s="1556"/>
      <c r="B28" s="1564"/>
      <c r="C28" s="1567"/>
      <c r="D28" s="52">
        <v>2</v>
      </c>
      <c r="E28" s="127"/>
      <c r="F28" s="97" t="s">
        <v>18</v>
      </c>
      <c r="G28" s="59">
        <v>5.42</v>
      </c>
      <c r="H28" s="1556"/>
      <c r="I28" s="77">
        <f t="shared" si="3"/>
        <v>1501</v>
      </c>
      <c r="J28" s="307">
        <f t="shared" si="1"/>
        <v>1501</v>
      </c>
      <c r="K28" s="620">
        <f t="shared" si="4"/>
        <v>282</v>
      </c>
      <c r="L28" s="250">
        <v>1</v>
      </c>
      <c r="M28" s="356">
        <v>-5</v>
      </c>
      <c r="N28" s="359"/>
      <c r="O28" s="449"/>
      <c r="P28" s="246"/>
      <c r="Q28" s="450"/>
      <c r="R28" s="5"/>
      <c r="S28" s="5"/>
      <c r="T28" s="5"/>
    </row>
    <row r="29" spans="1:20" x14ac:dyDescent="0.3">
      <c r="A29" s="1556"/>
      <c r="B29" s="1564"/>
      <c r="C29" s="1567"/>
      <c r="D29" s="52">
        <v>2</v>
      </c>
      <c r="E29" s="127"/>
      <c r="F29" s="97">
        <v>3</v>
      </c>
      <c r="G29" s="59">
        <v>5.42</v>
      </c>
      <c r="H29" s="1556"/>
      <c r="I29" s="77">
        <f t="shared" si="3"/>
        <v>1528</v>
      </c>
      <c r="J29" s="307">
        <f t="shared" si="1"/>
        <v>1528</v>
      </c>
      <c r="K29" s="620">
        <f t="shared" si="4"/>
        <v>282</v>
      </c>
      <c r="L29" s="250">
        <v>1</v>
      </c>
      <c r="M29" s="356"/>
      <c r="N29" s="359"/>
      <c r="O29" s="449"/>
      <c r="P29" s="246"/>
      <c r="Q29" s="450"/>
      <c r="R29" s="5"/>
      <c r="S29" s="5"/>
      <c r="T29" s="5"/>
    </row>
    <row r="30" spans="1:20" x14ac:dyDescent="0.3">
      <c r="A30" s="1556"/>
      <c r="B30" s="1564"/>
      <c r="C30" s="1567"/>
      <c r="D30" s="508" t="s">
        <v>443</v>
      </c>
      <c r="E30" s="509" t="s">
        <v>442</v>
      </c>
      <c r="F30" s="510">
        <v>4</v>
      </c>
      <c r="G30" s="511">
        <v>7.03</v>
      </c>
      <c r="H30" s="510">
        <v>50</v>
      </c>
      <c r="I30" s="552">
        <f t="shared" si="3"/>
        <v>2200</v>
      </c>
      <c r="J30" s="512">
        <f>J29+'Эл-ты панельных ограждений - 2'!H23</f>
        <v>2200</v>
      </c>
      <c r="K30" s="620"/>
      <c r="L30" s="250"/>
      <c r="M30" s="356"/>
      <c r="N30" s="359"/>
      <c r="O30" s="449"/>
      <c r="P30" s="246"/>
      <c r="Q30" s="450"/>
      <c r="R30" s="5"/>
      <c r="S30" s="5"/>
      <c r="T30" s="5"/>
    </row>
    <row r="31" spans="1:20" x14ac:dyDescent="0.3">
      <c r="A31" s="1556"/>
      <c r="B31" s="1564"/>
      <c r="C31" s="1567"/>
      <c r="D31" s="52">
        <v>2.2000000000000002</v>
      </c>
      <c r="E31" s="127"/>
      <c r="F31" s="97">
        <v>3</v>
      </c>
      <c r="G31" s="59">
        <v>5.98</v>
      </c>
      <c r="H31" s="1556">
        <v>96</v>
      </c>
      <c r="I31" s="77">
        <f t="shared" si="3"/>
        <v>1686</v>
      </c>
      <c r="J31" s="307">
        <f t="shared" si="1"/>
        <v>1686</v>
      </c>
      <c r="K31" s="620">
        <f t="shared" si="4"/>
        <v>282</v>
      </c>
      <c r="L31" s="250">
        <v>1</v>
      </c>
      <c r="M31" s="356"/>
      <c r="N31" s="359"/>
      <c r="O31" s="449"/>
      <c r="P31" s="246"/>
      <c r="Q31" s="450"/>
      <c r="R31" s="5"/>
      <c r="S31" s="5"/>
      <c r="T31" s="5"/>
    </row>
    <row r="32" spans="1:20" x14ac:dyDescent="0.3">
      <c r="A32" s="1556"/>
      <c r="B32" s="1564"/>
      <c r="C32" s="1567"/>
      <c r="D32" s="52">
        <v>2.4</v>
      </c>
      <c r="E32" s="127"/>
      <c r="F32" s="97">
        <v>3</v>
      </c>
      <c r="G32" s="59">
        <v>6.5039999999999996</v>
      </c>
      <c r="H32" s="1556"/>
      <c r="I32" s="77">
        <f t="shared" si="3"/>
        <v>1834</v>
      </c>
      <c r="J32" s="307">
        <f t="shared" si="1"/>
        <v>1834</v>
      </c>
      <c r="K32" s="620">
        <f t="shared" si="4"/>
        <v>282</v>
      </c>
      <c r="L32" s="250">
        <v>1</v>
      </c>
      <c r="M32" s="356"/>
      <c r="N32" s="359"/>
      <c r="O32" s="449"/>
      <c r="P32" s="246"/>
      <c r="Q32" s="450"/>
      <c r="R32" s="5"/>
      <c r="S32" s="5"/>
      <c r="T32" s="5"/>
    </row>
    <row r="33" spans="1:20" x14ac:dyDescent="0.3">
      <c r="A33" s="1556"/>
      <c r="B33" s="1564"/>
      <c r="C33" s="1567"/>
      <c r="D33" s="52">
        <v>2.5</v>
      </c>
      <c r="E33" s="127" t="s">
        <v>270</v>
      </c>
      <c r="F33" s="97" t="s">
        <v>18</v>
      </c>
      <c r="G33" s="59">
        <v>6.7750000000000004</v>
      </c>
      <c r="H33" s="1556"/>
      <c r="I33" s="77">
        <f t="shared" si="3"/>
        <v>1877</v>
      </c>
      <c r="J33" s="307">
        <f t="shared" si="1"/>
        <v>1877</v>
      </c>
      <c r="K33" s="620">
        <f t="shared" si="4"/>
        <v>282</v>
      </c>
      <c r="L33" s="250">
        <v>1</v>
      </c>
      <c r="M33" s="356">
        <v>-5</v>
      </c>
      <c r="N33" s="359"/>
      <c r="O33" s="449"/>
      <c r="P33" s="246"/>
      <c r="Q33" s="450"/>
      <c r="R33" s="5"/>
      <c r="S33" s="5"/>
      <c r="T33" s="5"/>
    </row>
    <row r="34" spans="1:20" x14ac:dyDescent="0.3">
      <c r="A34" s="1556"/>
      <c r="B34" s="1564"/>
      <c r="C34" s="1567"/>
      <c r="D34" s="52">
        <v>2.5</v>
      </c>
      <c r="E34" s="127"/>
      <c r="F34" s="97">
        <v>4</v>
      </c>
      <c r="G34" s="59">
        <v>6.79</v>
      </c>
      <c r="H34" s="1556"/>
      <c r="I34" s="77">
        <f t="shared" si="3"/>
        <v>1915</v>
      </c>
      <c r="J34" s="307">
        <f t="shared" si="1"/>
        <v>1915</v>
      </c>
      <c r="K34" s="620">
        <f t="shared" si="4"/>
        <v>282</v>
      </c>
      <c r="L34" s="250">
        <v>1</v>
      </c>
      <c r="M34" s="356"/>
      <c r="N34" s="359"/>
      <c r="O34" s="449"/>
      <c r="P34" s="246"/>
      <c r="Q34" s="450"/>
      <c r="R34" s="5"/>
      <c r="S34" s="5"/>
      <c r="T34" s="5"/>
    </row>
    <row r="35" spans="1:20" x14ac:dyDescent="0.3">
      <c r="A35" s="1556"/>
      <c r="B35" s="1564"/>
      <c r="C35" s="1567"/>
      <c r="D35" s="52">
        <v>2.5</v>
      </c>
      <c r="E35" s="127" t="s">
        <v>493</v>
      </c>
      <c r="F35" s="97">
        <v>5</v>
      </c>
      <c r="G35" s="59">
        <v>6.77</v>
      </c>
      <c r="H35" s="1556"/>
      <c r="I35" s="77">
        <f t="shared" si="3"/>
        <v>1909</v>
      </c>
      <c r="J35" s="307">
        <f t="shared" si="1"/>
        <v>1909</v>
      </c>
      <c r="K35" s="620">
        <f t="shared" si="4"/>
        <v>282</v>
      </c>
      <c r="L35" s="250">
        <v>1</v>
      </c>
      <c r="M35" s="356"/>
      <c r="N35" s="359"/>
      <c r="O35" s="449"/>
      <c r="P35" s="246"/>
      <c r="Q35" s="450"/>
      <c r="R35" s="5"/>
      <c r="S35" s="5"/>
      <c r="T35" s="5"/>
    </row>
    <row r="36" spans="1:20" x14ac:dyDescent="0.3">
      <c r="A36" s="1556"/>
      <c r="B36" s="1564"/>
      <c r="C36" s="1567"/>
      <c r="D36" s="52">
        <v>3</v>
      </c>
      <c r="E36" s="127" t="s">
        <v>493</v>
      </c>
      <c r="F36" s="97" t="s">
        <v>18</v>
      </c>
      <c r="G36" s="59">
        <v>8.129999999999999</v>
      </c>
      <c r="H36" s="1556"/>
      <c r="I36" s="77">
        <f t="shared" si="3"/>
        <v>2252</v>
      </c>
      <c r="J36" s="307">
        <f t="shared" si="1"/>
        <v>2252</v>
      </c>
      <c r="K36" s="620">
        <f t="shared" si="4"/>
        <v>282</v>
      </c>
      <c r="L36" s="250">
        <v>1</v>
      </c>
      <c r="M36" s="356">
        <v>-5</v>
      </c>
      <c r="N36" s="359"/>
      <c r="O36" s="449"/>
      <c r="P36" s="246"/>
      <c r="Q36" s="450"/>
      <c r="R36" s="5"/>
      <c r="S36" s="5"/>
      <c r="T36" s="5"/>
    </row>
    <row r="37" spans="1:20" x14ac:dyDescent="0.3">
      <c r="A37" s="1556"/>
      <c r="B37" s="1564"/>
      <c r="C37" s="1567"/>
      <c r="D37" s="52">
        <v>3</v>
      </c>
      <c r="E37" s="127"/>
      <c r="F37" s="97">
        <v>4</v>
      </c>
      <c r="G37" s="59">
        <v>8.1199999999999992</v>
      </c>
      <c r="H37" s="1556"/>
      <c r="I37" s="77">
        <f t="shared" si="3"/>
        <v>2290</v>
      </c>
      <c r="J37" s="307">
        <f t="shared" si="1"/>
        <v>2290</v>
      </c>
      <c r="K37" s="620">
        <f t="shared" si="4"/>
        <v>282</v>
      </c>
      <c r="L37" s="250">
        <v>1</v>
      </c>
      <c r="M37" s="356"/>
      <c r="N37" s="359"/>
      <c r="O37" s="449"/>
      <c r="P37" s="246"/>
      <c r="Q37" s="450"/>
      <c r="R37" s="5"/>
      <c r="S37" s="5"/>
      <c r="T37" s="5"/>
    </row>
    <row r="38" spans="1:20" x14ac:dyDescent="0.3">
      <c r="A38" s="1556"/>
      <c r="B38" s="389"/>
      <c r="C38" s="1568"/>
      <c r="D38" s="52">
        <v>3</v>
      </c>
      <c r="E38" s="127" t="s">
        <v>272</v>
      </c>
      <c r="F38" s="109">
        <v>5</v>
      </c>
      <c r="G38" s="59">
        <v>8.1199999999999992</v>
      </c>
      <c r="H38" s="1556"/>
      <c r="I38" s="524">
        <f t="shared" si="3"/>
        <v>2290</v>
      </c>
      <c r="J38" s="307">
        <f t="shared" si="1"/>
        <v>2290</v>
      </c>
      <c r="K38" s="620">
        <f t="shared" si="4"/>
        <v>282</v>
      </c>
      <c r="L38" s="250">
        <v>1</v>
      </c>
      <c r="M38" s="356"/>
      <c r="N38" s="359"/>
      <c r="O38" s="449"/>
      <c r="P38" s="246"/>
      <c r="Q38" s="450"/>
      <c r="R38" s="5"/>
      <c r="S38" s="5"/>
      <c r="T38" s="5"/>
    </row>
    <row r="39" spans="1:20" ht="23.25" customHeight="1" x14ac:dyDescent="0.3">
      <c r="A39" s="1556"/>
      <c r="B39" s="1558" t="s">
        <v>496</v>
      </c>
      <c r="C39" s="1568"/>
      <c r="D39" s="130">
        <v>4</v>
      </c>
      <c r="E39" s="129"/>
      <c r="F39" s="109">
        <v>6</v>
      </c>
      <c r="G39" s="117">
        <v>11.06</v>
      </c>
      <c r="H39" s="1557"/>
      <c r="I39" s="524">
        <f t="shared" si="3"/>
        <v>3119</v>
      </c>
      <c r="J39" s="307">
        <f t="shared" si="1"/>
        <v>3119</v>
      </c>
      <c r="K39" s="620">
        <f t="shared" si="4"/>
        <v>282</v>
      </c>
      <c r="L39" s="250">
        <v>1</v>
      </c>
      <c r="M39" s="356"/>
      <c r="N39" s="359"/>
      <c r="O39" s="449"/>
      <c r="P39" s="246"/>
      <c r="Q39" s="450"/>
      <c r="R39" s="5"/>
      <c r="S39" s="5"/>
      <c r="T39" s="5"/>
    </row>
    <row r="40" spans="1:20" ht="23.25" customHeight="1" x14ac:dyDescent="0.3">
      <c r="A40" s="1556"/>
      <c r="B40" s="1558"/>
      <c r="C40" s="1565" t="s">
        <v>670</v>
      </c>
      <c r="D40" s="54">
        <v>4</v>
      </c>
      <c r="E40" s="125"/>
      <c r="F40" s="96">
        <v>6</v>
      </c>
      <c r="G40" s="58">
        <v>19.2</v>
      </c>
      <c r="H40" s="96">
        <v>54</v>
      </c>
      <c r="I40" s="527">
        <f t="shared" si="3"/>
        <v>5069</v>
      </c>
      <c r="J40" s="307">
        <f t="shared" si="1"/>
        <v>5069</v>
      </c>
      <c r="K40" s="619">
        <v>264</v>
      </c>
      <c r="L40" s="250">
        <v>1</v>
      </c>
      <c r="M40" s="356"/>
      <c r="N40" s="359"/>
      <c r="O40" s="449"/>
      <c r="P40" s="5"/>
      <c r="Q40" s="450"/>
      <c r="R40" s="5"/>
      <c r="S40" s="5"/>
      <c r="T40" s="5"/>
    </row>
    <row r="41" spans="1:20" x14ac:dyDescent="0.3">
      <c r="A41" s="1556"/>
      <c r="B41" s="1558"/>
      <c r="C41" s="1595"/>
      <c r="D41" s="53">
        <v>5</v>
      </c>
      <c r="E41" s="128"/>
      <c r="F41" s="98">
        <v>8</v>
      </c>
      <c r="G41" s="74">
        <v>24</v>
      </c>
      <c r="H41" s="98" t="s">
        <v>449</v>
      </c>
      <c r="I41" s="528">
        <f t="shared" si="3"/>
        <v>6336</v>
      </c>
      <c r="J41" s="307">
        <f t="shared" si="1"/>
        <v>6336</v>
      </c>
      <c r="K41" s="619">
        <v>264</v>
      </c>
      <c r="L41" s="250">
        <v>1</v>
      </c>
      <c r="M41" s="356"/>
      <c r="N41" s="359"/>
      <c r="O41" s="449"/>
      <c r="P41" s="5"/>
      <c r="Q41" s="450"/>
      <c r="R41" s="5"/>
      <c r="S41" s="5"/>
      <c r="T41" s="5"/>
    </row>
    <row r="42" spans="1:20" x14ac:dyDescent="0.3">
      <c r="A42" s="1556"/>
      <c r="B42" s="1558"/>
      <c r="C42" s="1560" t="s">
        <v>668</v>
      </c>
      <c r="D42" s="54">
        <v>3</v>
      </c>
      <c r="E42" s="125"/>
      <c r="F42" s="96" t="s">
        <v>18</v>
      </c>
      <c r="G42" s="58">
        <v>11.64</v>
      </c>
      <c r="H42" s="1629">
        <v>64</v>
      </c>
      <c r="I42" s="76">
        <f t="shared" si="3"/>
        <v>3224</v>
      </c>
      <c r="J42" s="307">
        <f t="shared" si="1"/>
        <v>3224</v>
      </c>
      <c r="K42" s="620">
        <f t="shared" ref="K42:K47" si="5">$K$21</f>
        <v>282</v>
      </c>
      <c r="L42" s="250">
        <v>1</v>
      </c>
      <c r="M42" s="356">
        <v>-5</v>
      </c>
      <c r="N42" s="359"/>
      <c r="O42" s="449"/>
      <c r="P42" s="5"/>
      <c r="Q42" s="450"/>
      <c r="R42" s="5"/>
      <c r="S42" s="5"/>
      <c r="T42" s="5"/>
    </row>
    <row r="43" spans="1:20" x14ac:dyDescent="0.3">
      <c r="A43" s="1556"/>
      <c r="B43" s="1558"/>
      <c r="C43" s="1561"/>
      <c r="D43" s="52">
        <v>4</v>
      </c>
      <c r="E43" s="127"/>
      <c r="F43" s="97" t="s">
        <v>18</v>
      </c>
      <c r="G43" s="59">
        <v>15.52</v>
      </c>
      <c r="H43" s="1630"/>
      <c r="I43" s="77">
        <f t="shared" si="3"/>
        <v>4299</v>
      </c>
      <c r="J43" s="307">
        <f t="shared" si="1"/>
        <v>4299</v>
      </c>
      <c r="K43" s="620">
        <f t="shared" si="5"/>
        <v>282</v>
      </c>
      <c r="L43" s="250">
        <v>1</v>
      </c>
      <c r="M43" s="356">
        <v>-5</v>
      </c>
      <c r="N43" s="359"/>
      <c r="O43" s="449"/>
      <c r="P43" s="5"/>
      <c r="Q43" s="450"/>
      <c r="R43" s="56"/>
      <c r="S43" s="5"/>
      <c r="T43" s="5"/>
    </row>
    <row r="44" spans="1:20" x14ac:dyDescent="0.3">
      <c r="A44" s="1556"/>
      <c r="B44" s="1558"/>
      <c r="C44" s="1561"/>
      <c r="D44" s="52">
        <v>4</v>
      </c>
      <c r="E44" s="127"/>
      <c r="F44" s="97" t="s">
        <v>382</v>
      </c>
      <c r="G44" s="59">
        <v>15.53</v>
      </c>
      <c r="H44" s="1630"/>
      <c r="I44" s="77">
        <f t="shared" si="3"/>
        <v>4379</v>
      </c>
      <c r="J44" s="307">
        <f t="shared" si="1"/>
        <v>4379</v>
      </c>
      <c r="K44" s="620">
        <f t="shared" si="5"/>
        <v>282</v>
      </c>
      <c r="L44" s="250">
        <v>1</v>
      </c>
      <c r="M44" s="356"/>
      <c r="N44" s="359"/>
      <c r="O44" s="449"/>
      <c r="P44" s="5"/>
      <c r="Q44" s="450"/>
      <c r="R44" s="56"/>
      <c r="S44" s="5"/>
      <c r="T44" s="5"/>
    </row>
    <row r="45" spans="1:20" x14ac:dyDescent="0.3">
      <c r="A45" s="1556"/>
      <c r="B45" s="1558"/>
      <c r="C45" s="1561"/>
      <c r="D45" s="52">
        <v>4</v>
      </c>
      <c r="E45" s="127" t="s">
        <v>270</v>
      </c>
      <c r="F45" s="97" t="s">
        <v>381</v>
      </c>
      <c r="G45" s="59">
        <v>15.53</v>
      </c>
      <c r="H45" s="1630"/>
      <c r="I45" s="77">
        <f t="shared" si="3"/>
        <v>4457</v>
      </c>
      <c r="J45" s="307">
        <f t="shared" si="1"/>
        <v>4457</v>
      </c>
      <c r="K45" s="620">
        <f t="shared" si="5"/>
        <v>282</v>
      </c>
      <c r="L45" s="250">
        <v>1</v>
      </c>
      <c r="M45" s="356">
        <v>5</v>
      </c>
      <c r="N45" s="359"/>
      <c r="O45" s="449"/>
      <c r="P45" s="5"/>
      <c r="Q45" s="450"/>
      <c r="R45" s="56"/>
      <c r="S45" s="5"/>
      <c r="T45" s="5"/>
    </row>
    <row r="46" spans="1:20" x14ac:dyDescent="0.3">
      <c r="A46" s="1556"/>
      <c r="B46" s="1558"/>
      <c r="C46" s="1561"/>
      <c r="D46" s="52">
        <v>5</v>
      </c>
      <c r="E46" s="127"/>
      <c r="F46" s="97" t="s">
        <v>383</v>
      </c>
      <c r="G46" s="59">
        <v>19.52</v>
      </c>
      <c r="H46" s="1630" t="s">
        <v>447</v>
      </c>
      <c r="I46" s="77">
        <f t="shared" si="3"/>
        <v>5505</v>
      </c>
      <c r="J46" s="307">
        <f t="shared" si="1"/>
        <v>5505</v>
      </c>
      <c r="K46" s="620">
        <f t="shared" si="5"/>
        <v>282</v>
      </c>
      <c r="L46" s="250">
        <v>1</v>
      </c>
      <c r="M46" s="356"/>
      <c r="N46" s="359"/>
      <c r="O46" s="449"/>
      <c r="P46" s="5"/>
      <c r="Q46" s="450"/>
      <c r="R46" s="5"/>
      <c r="S46" s="5"/>
      <c r="T46" s="5"/>
    </row>
    <row r="47" spans="1:20" x14ac:dyDescent="0.3">
      <c r="A47" s="1557"/>
      <c r="B47" s="1559"/>
      <c r="C47" s="1562"/>
      <c r="D47" s="53">
        <v>5</v>
      </c>
      <c r="E47" s="128" t="s">
        <v>270</v>
      </c>
      <c r="F47" s="98" t="s">
        <v>384</v>
      </c>
      <c r="G47" s="74">
        <v>19.52</v>
      </c>
      <c r="H47" s="1631"/>
      <c r="I47" s="78">
        <f t="shared" si="3"/>
        <v>5602</v>
      </c>
      <c r="J47" s="307">
        <f t="shared" si="1"/>
        <v>5602</v>
      </c>
      <c r="K47" s="620">
        <f t="shared" si="5"/>
        <v>282</v>
      </c>
      <c r="L47" s="250">
        <v>1</v>
      </c>
      <c r="M47" s="356">
        <v>5</v>
      </c>
      <c r="N47" s="359"/>
      <c r="O47" s="449"/>
      <c r="P47" s="5"/>
      <c r="Q47" s="450"/>
      <c r="R47" s="5"/>
      <c r="S47" s="5"/>
      <c r="T47" s="5"/>
    </row>
    <row r="48" spans="1:20" ht="65.099999999999994" customHeight="1" x14ac:dyDescent="0.3">
      <c r="A48" s="47"/>
      <c r="B48" s="1604" t="s">
        <v>708</v>
      </c>
      <c r="C48" s="1605"/>
      <c r="D48" s="64" t="s">
        <v>18</v>
      </c>
      <c r="E48" s="343" t="s">
        <v>709</v>
      </c>
      <c r="F48" s="342" t="s">
        <v>67</v>
      </c>
      <c r="G48" s="65">
        <v>0.05</v>
      </c>
      <c r="H48" s="362" t="s">
        <v>837</v>
      </c>
      <c r="I48" s="61">
        <f t="shared" si="3"/>
        <v>103</v>
      </c>
      <c r="J48" s="307">
        <v>103</v>
      </c>
      <c r="K48" s="250"/>
      <c r="L48" s="250"/>
      <c r="M48" s="359"/>
      <c r="N48" s="359"/>
      <c r="O48" s="5"/>
      <c r="P48" s="5"/>
      <c r="Q48" s="5"/>
      <c r="R48" s="5"/>
      <c r="S48" s="5"/>
      <c r="T48" s="5"/>
    </row>
    <row r="49" spans="1:21" ht="65.099999999999994" customHeight="1" x14ac:dyDescent="0.3">
      <c r="A49" s="47"/>
      <c r="B49" s="1604" t="s">
        <v>710</v>
      </c>
      <c r="C49" s="1605"/>
      <c r="D49" s="64" t="s">
        <v>18</v>
      </c>
      <c r="E49" s="325" t="s">
        <v>270</v>
      </c>
      <c r="F49" s="123" t="s">
        <v>67</v>
      </c>
      <c r="G49" s="65">
        <v>0.05</v>
      </c>
      <c r="H49" s="362" t="s">
        <v>837</v>
      </c>
      <c r="I49" s="529">
        <f t="shared" si="3"/>
        <v>103</v>
      </c>
      <c r="J49" s="307">
        <v>103</v>
      </c>
      <c r="K49" s="250"/>
      <c r="L49" s="250"/>
      <c r="M49" s="359"/>
      <c r="N49" s="449"/>
      <c r="O49" s="5"/>
      <c r="P49" s="5"/>
      <c r="Q49" s="5"/>
      <c r="R49" s="5"/>
      <c r="S49" s="5"/>
      <c r="T49" s="5"/>
    </row>
    <row r="50" spans="1:21" ht="65.099999999999994" customHeight="1" x14ac:dyDescent="0.3">
      <c r="A50" s="47"/>
      <c r="B50" s="1604" t="s">
        <v>711</v>
      </c>
      <c r="C50" s="1605"/>
      <c r="D50" s="64" t="s">
        <v>18</v>
      </c>
      <c r="E50" s="325"/>
      <c r="F50" s="123" t="s">
        <v>67</v>
      </c>
      <c r="G50" s="65">
        <v>0.08</v>
      </c>
      <c r="H50" s="47">
        <v>100</v>
      </c>
      <c r="I50" s="529">
        <f t="shared" si="3"/>
        <v>179</v>
      </c>
      <c r="J50" s="307">
        <v>179</v>
      </c>
      <c r="K50" s="250"/>
      <c r="L50" s="250"/>
      <c r="M50" s="359"/>
      <c r="N50" s="449"/>
      <c r="O50" s="5"/>
      <c r="P50" s="5"/>
      <c r="Q50" s="5"/>
      <c r="R50" s="5"/>
      <c r="S50" s="5"/>
      <c r="T50" s="5"/>
    </row>
    <row r="51" spans="1:21" ht="65.099999999999994" customHeight="1" x14ac:dyDescent="0.3">
      <c r="A51" s="47"/>
      <c r="B51" s="1604" t="s">
        <v>712</v>
      </c>
      <c r="C51" s="1605"/>
      <c r="D51" s="64" t="s">
        <v>18</v>
      </c>
      <c r="E51" s="325" t="s">
        <v>270</v>
      </c>
      <c r="F51" s="123" t="s">
        <v>67</v>
      </c>
      <c r="G51" s="65">
        <v>0.08</v>
      </c>
      <c r="H51" s="47">
        <v>300</v>
      </c>
      <c r="I51" s="529">
        <f t="shared" si="3"/>
        <v>103</v>
      </c>
      <c r="J51" s="307">
        <v>103</v>
      </c>
      <c r="K51" s="250"/>
      <c r="L51" s="250"/>
      <c r="M51" s="359"/>
      <c r="N51" s="449"/>
      <c r="O51" s="5"/>
      <c r="P51" s="5"/>
      <c r="Q51" s="5"/>
      <c r="R51" s="5"/>
      <c r="S51" s="5"/>
      <c r="T51" s="5"/>
    </row>
    <row r="52" spans="1:21" ht="65.099999999999994" customHeight="1" x14ac:dyDescent="0.3">
      <c r="A52" s="47"/>
      <c r="B52" s="1604" t="s">
        <v>219</v>
      </c>
      <c r="C52" s="1605"/>
      <c r="D52" s="64" t="s">
        <v>18</v>
      </c>
      <c r="E52" s="325"/>
      <c r="F52" s="123" t="s">
        <v>253</v>
      </c>
      <c r="G52" s="65">
        <v>0.11</v>
      </c>
      <c r="H52" s="47">
        <v>240</v>
      </c>
      <c r="I52" s="529">
        <f t="shared" si="3"/>
        <v>180</v>
      </c>
      <c r="J52" s="307">
        <v>180</v>
      </c>
      <c r="K52" s="250"/>
      <c r="L52" s="250"/>
      <c r="M52" s="359"/>
      <c r="N52" s="449"/>
      <c r="O52" s="5"/>
      <c r="P52" s="5"/>
      <c r="Q52" s="5"/>
      <c r="R52" s="5"/>
      <c r="S52" s="5"/>
      <c r="T52" s="5"/>
    </row>
    <row r="53" spans="1:21" ht="65.099999999999994" customHeight="1" x14ac:dyDescent="0.3">
      <c r="A53" s="51"/>
      <c r="B53" s="1625" t="s">
        <v>378</v>
      </c>
      <c r="C53" s="1625"/>
      <c r="D53" s="7" t="s">
        <v>671</v>
      </c>
      <c r="E53" s="325" t="s">
        <v>270</v>
      </c>
      <c r="F53" s="123" t="s">
        <v>67</v>
      </c>
      <c r="G53" s="65">
        <v>0.1</v>
      </c>
      <c r="H53" s="47">
        <v>50</v>
      </c>
      <c r="I53" s="61">
        <f t="shared" si="3"/>
        <v>180</v>
      </c>
      <c r="J53" s="307">
        <v>180</v>
      </c>
      <c r="K53" s="250"/>
      <c r="L53" s="250"/>
      <c r="M53" s="359"/>
      <c r="N53" s="449"/>
      <c r="O53" s="5"/>
      <c r="P53" s="5"/>
      <c r="Q53" s="5"/>
      <c r="R53" s="5"/>
      <c r="S53" s="5"/>
      <c r="T53" s="5"/>
    </row>
    <row r="54" spans="1:21" ht="65.099999999999994" customHeight="1" x14ac:dyDescent="0.3">
      <c r="A54" s="51"/>
      <c r="B54" s="1625" t="s">
        <v>379</v>
      </c>
      <c r="C54" s="1625"/>
      <c r="D54" s="7" t="s">
        <v>671</v>
      </c>
      <c r="E54" s="325" t="s">
        <v>270</v>
      </c>
      <c r="F54" s="123" t="s">
        <v>67</v>
      </c>
      <c r="G54" s="65">
        <v>0.1</v>
      </c>
      <c r="H54" s="47">
        <v>100</v>
      </c>
      <c r="I54" s="61">
        <f t="shared" si="3"/>
        <v>301</v>
      </c>
      <c r="J54" s="307">
        <v>301</v>
      </c>
      <c r="K54" s="250"/>
      <c r="L54" s="250"/>
      <c r="M54" s="359"/>
      <c r="N54" s="449"/>
      <c r="O54" s="5"/>
      <c r="P54" s="5"/>
      <c r="Q54" s="5"/>
      <c r="R54" s="5"/>
      <c r="S54" s="5"/>
      <c r="T54" s="5"/>
    </row>
    <row r="55" spans="1:21" ht="65.099999999999994" customHeight="1" x14ac:dyDescent="0.3">
      <c r="A55" s="51"/>
      <c r="B55" s="1625" t="s">
        <v>338</v>
      </c>
      <c r="C55" s="1625"/>
      <c r="D55" s="241" t="s">
        <v>673</v>
      </c>
      <c r="E55" s="325"/>
      <c r="F55" s="123" t="s">
        <v>67</v>
      </c>
      <c r="G55" s="65">
        <v>0.1</v>
      </c>
      <c r="H55" s="47">
        <v>100</v>
      </c>
      <c r="I55" s="61">
        <f t="shared" si="3"/>
        <v>301</v>
      </c>
      <c r="J55" s="307">
        <v>301</v>
      </c>
      <c r="K55" s="250"/>
      <c r="L55" s="250"/>
      <c r="M55" s="359"/>
      <c r="N55" s="449"/>
      <c r="O55" s="5"/>
      <c r="P55" s="5"/>
      <c r="Q55" s="5"/>
      <c r="R55" s="5"/>
      <c r="S55" s="5"/>
      <c r="T55" s="5"/>
    </row>
    <row r="56" spans="1:21" ht="75" customHeight="1" x14ac:dyDescent="0.3">
      <c r="A56" s="51"/>
      <c r="B56" s="1627" t="s">
        <v>611</v>
      </c>
      <c r="C56" s="1628"/>
      <c r="D56" s="457" t="s">
        <v>651</v>
      </c>
      <c r="E56" s="325" t="s">
        <v>270</v>
      </c>
      <c r="F56" s="123" t="s">
        <v>67</v>
      </c>
      <c r="G56" s="65">
        <v>0.1</v>
      </c>
      <c r="H56" s="47">
        <v>100</v>
      </c>
      <c r="I56" s="70">
        <f t="shared" si="3"/>
        <v>179</v>
      </c>
      <c r="J56" s="307">
        <v>179</v>
      </c>
      <c r="K56" s="250"/>
      <c r="L56" s="250"/>
      <c r="M56" s="359"/>
      <c r="N56" s="449"/>
      <c r="O56" s="5"/>
      <c r="P56" s="5"/>
      <c r="Q56" s="5"/>
      <c r="R56" s="5"/>
      <c r="S56" s="5"/>
      <c r="T56" s="5"/>
    </row>
    <row r="57" spans="1:21" ht="60" customHeight="1" x14ac:dyDescent="0.3">
      <c r="A57" s="21"/>
      <c r="B57" s="1625" t="s">
        <v>68</v>
      </c>
      <c r="C57" s="1625"/>
      <c r="D57" s="7" t="s">
        <v>18</v>
      </c>
      <c r="E57" s="123" t="s">
        <v>299</v>
      </c>
      <c r="F57" s="123" t="s">
        <v>131</v>
      </c>
      <c r="G57" s="8">
        <v>8.0000000000000002E-3</v>
      </c>
      <c r="H57" s="47">
        <v>1500</v>
      </c>
      <c r="I57" s="61">
        <f>ROUND(J57*BelarusV_LFzn*(1-$B$77),2)</f>
        <v>34</v>
      </c>
      <c r="J57" s="307">
        <v>34</v>
      </c>
      <c r="K57" s="250"/>
      <c r="L57" s="250"/>
      <c r="M57" s="359"/>
      <c r="N57" s="449"/>
      <c r="O57" s="5"/>
      <c r="P57" s="5"/>
      <c r="Q57" s="5"/>
      <c r="R57" s="5"/>
      <c r="S57" s="5"/>
      <c r="T57" s="5"/>
    </row>
    <row r="58" spans="1:21" ht="60" customHeight="1" x14ac:dyDescent="0.3">
      <c r="A58" s="21"/>
      <c r="B58" s="1627" t="s">
        <v>106</v>
      </c>
      <c r="C58" s="1628"/>
      <c r="D58" s="7" t="s">
        <v>672</v>
      </c>
      <c r="E58" s="362"/>
      <c r="F58" s="362" t="s">
        <v>9</v>
      </c>
      <c r="G58" s="9">
        <v>0.14000000000000001</v>
      </c>
      <c r="H58" s="47">
        <v>100</v>
      </c>
      <c r="I58" s="61">
        <f>ROUND(J58*BelarusV_LFzn*(1-$B$77),2)</f>
        <v>105</v>
      </c>
      <c r="J58" s="307">
        <v>105</v>
      </c>
      <c r="K58" s="250"/>
      <c r="L58" s="250"/>
      <c r="M58" s="359"/>
      <c r="N58" s="449"/>
      <c r="O58" s="5"/>
      <c r="P58" s="5"/>
      <c r="Q58" s="5"/>
      <c r="R58" s="5"/>
      <c r="S58" s="5"/>
      <c r="T58" s="5"/>
    </row>
    <row r="59" spans="1:21" ht="60" customHeight="1" x14ac:dyDescent="0.3">
      <c r="A59" s="21"/>
      <c r="B59" s="1625" t="s">
        <v>713</v>
      </c>
      <c r="C59" s="1625"/>
      <c r="D59" s="1625"/>
      <c r="E59" s="1625"/>
      <c r="F59" s="123" t="s">
        <v>124</v>
      </c>
      <c r="G59" s="9">
        <v>0.05</v>
      </c>
      <c r="H59" s="47">
        <v>200</v>
      </c>
      <c r="I59" s="61">
        <f>ROUND(J59*BelarusV_LFzn*(1-$B$77),2)</f>
        <v>48</v>
      </c>
      <c r="J59" s="307">
        <v>48</v>
      </c>
      <c r="K59" s="250"/>
      <c r="L59" s="250"/>
      <c r="M59" s="359"/>
      <c r="N59" s="411"/>
      <c r="O59" s="5"/>
      <c r="P59" s="5"/>
      <c r="Q59" s="5"/>
      <c r="R59" s="5"/>
      <c r="S59" s="5"/>
      <c r="T59" s="5"/>
    </row>
    <row r="60" spans="1:21" ht="60" customHeight="1" x14ac:dyDescent="0.3">
      <c r="A60" s="21"/>
      <c r="B60" s="1625" t="s">
        <v>341</v>
      </c>
      <c r="C60" s="1625"/>
      <c r="D60" s="1625"/>
      <c r="E60" s="1625"/>
      <c r="F60" s="123" t="s">
        <v>342</v>
      </c>
      <c r="G60" s="8">
        <v>2E-3</v>
      </c>
      <c r="H60" s="47" t="s">
        <v>123</v>
      </c>
      <c r="I60" s="61">
        <f>ROUND(J60*BelarusV_LFzn*(1-$B$77),2)</f>
        <v>27</v>
      </c>
      <c r="J60" s="307">
        <v>27</v>
      </c>
      <c r="K60" s="250"/>
      <c r="L60" s="250"/>
      <c r="M60" s="359"/>
      <c r="N60" s="411"/>
      <c r="O60" s="5"/>
      <c r="P60" s="5"/>
      <c r="Q60" s="5"/>
      <c r="R60" s="5"/>
      <c r="S60" s="5"/>
      <c r="T60" s="5"/>
    </row>
    <row r="61" spans="1:21" ht="60" customHeight="1" x14ac:dyDescent="0.3">
      <c r="A61" s="21"/>
      <c r="B61" s="1625" t="s">
        <v>371</v>
      </c>
      <c r="C61" s="1625"/>
      <c r="D61" s="1625"/>
      <c r="E61" s="1625"/>
      <c r="F61" s="123" t="s">
        <v>130</v>
      </c>
      <c r="G61" s="47">
        <v>1.6E-2</v>
      </c>
      <c r="H61" s="47" t="s">
        <v>123</v>
      </c>
      <c r="I61" s="61">
        <f>ROUND(J61*BelarusV_LFpe*(1-$B$77),2)</f>
        <v>27</v>
      </c>
      <c r="J61" s="307">
        <v>27</v>
      </c>
      <c r="K61" s="250"/>
      <c r="L61" s="250"/>
      <c r="M61" s="359"/>
      <c r="N61" s="411"/>
      <c r="O61" s="5"/>
      <c r="P61" s="5"/>
      <c r="Q61" s="5"/>
      <c r="R61" s="5"/>
      <c r="S61" s="5"/>
      <c r="T61" s="5"/>
    </row>
    <row r="62" spans="1:21" ht="60" customHeight="1" x14ac:dyDescent="0.3">
      <c r="A62" s="21"/>
      <c r="B62" s="1625" t="s">
        <v>714</v>
      </c>
      <c r="C62" s="1625"/>
      <c r="D62" s="1625"/>
      <c r="E62" s="1625"/>
      <c r="F62" s="123" t="s">
        <v>130</v>
      </c>
      <c r="G62" s="8" t="s">
        <v>18</v>
      </c>
      <c r="H62" s="47">
        <v>200</v>
      </c>
      <c r="I62" s="61">
        <f t="shared" ref="I62" si="6">ROUND(J62*BelarusV*(1-$B$77),2)</f>
        <v>87</v>
      </c>
      <c r="J62" s="307">
        <v>87</v>
      </c>
      <c r="K62" s="250"/>
      <c r="L62" s="250"/>
      <c r="M62" s="359"/>
      <c r="N62" s="411"/>
      <c r="O62" s="5"/>
      <c r="P62" s="5"/>
      <c r="Q62" s="5"/>
      <c r="R62" s="5"/>
      <c r="S62" s="5"/>
      <c r="T62" s="5"/>
    </row>
    <row r="63" spans="1:21" ht="21.95" customHeight="1" x14ac:dyDescent="0.3">
      <c r="A63" s="160" t="s">
        <v>198</v>
      </c>
      <c r="B63" s="41"/>
      <c r="C63" s="1579" t="s">
        <v>1342</v>
      </c>
      <c r="D63" s="1579"/>
      <c r="E63" s="1579"/>
      <c r="F63" s="1579"/>
      <c r="G63" s="1579"/>
      <c r="H63" s="1579"/>
      <c r="I63" s="1579"/>
      <c r="J63" s="266"/>
      <c r="K63" s="344"/>
      <c r="L63" s="344"/>
      <c r="M63" s="344"/>
      <c r="N63" s="5"/>
      <c r="O63" s="5"/>
      <c r="P63" s="5"/>
      <c r="Q63" s="5"/>
      <c r="R63" s="5"/>
      <c r="S63" s="5"/>
      <c r="T63" s="5"/>
      <c r="U63" s="5"/>
    </row>
    <row r="64" spans="1:21" ht="21.95" customHeight="1" x14ac:dyDescent="0.3">
      <c r="A64" s="154" t="s">
        <v>1343</v>
      </c>
      <c r="B64" s="41"/>
      <c r="C64" s="1580"/>
      <c r="D64" s="1580"/>
      <c r="E64" s="1580"/>
      <c r="F64" s="1580"/>
      <c r="G64" s="1580"/>
      <c r="H64" s="1580"/>
      <c r="I64" s="1580"/>
      <c r="J64" s="266"/>
      <c r="K64" s="344"/>
      <c r="L64" s="344"/>
      <c r="M64" s="344"/>
      <c r="N64" s="5"/>
      <c r="O64" s="5"/>
      <c r="P64" s="5"/>
      <c r="Q64" s="5"/>
      <c r="R64" s="5"/>
      <c r="S64" s="5"/>
      <c r="T64" s="5"/>
      <c r="U64" s="5"/>
    </row>
    <row r="65" spans="1:21" ht="21.95" customHeight="1" x14ac:dyDescent="0.3">
      <c r="A65" s="154" t="s">
        <v>1344</v>
      </c>
      <c r="B65" s="41"/>
      <c r="C65" s="1626" t="s">
        <v>1345</v>
      </c>
      <c r="D65" s="1626"/>
      <c r="E65" s="1626"/>
      <c r="F65" s="1626"/>
      <c r="G65" s="1626"/>
      <c r="H65" s="1626"/>
      <c r="I65" s="1626"/>
      <c r="J65" s="266"/>
      <c r="K65" s="344"/>
      <c r="L65" s="344"/>
      <c r="M65" s="344"/>
      <c r="N65" s="5"/>
      <c r="O65" s="5"/>
      <c r="P65" s="5"/>
      <c r="Q65" s="5"/>
      <c r="R65" s="5"/>
      <c r="S65" s="5"/>
      <c r="T65" s="5"/>
      <c r="U65" s="5"/>
    </row>
    <row r="66" spans="1:21" ht="21.95" customHeight="1" x14ac:dyDescent="0.3">
      <c r="A66" s="154" t="s">
        <v>1346</v>
      </c>
      <c r="B66" s="41"/>
      <c r="C66" s="1632" t="s">
        <v>533</v>
      </c>
      <c r="D66" s="1632"/>
      <c r="E66" s="1632"/>
      <c r="F66" s="1632"/>
      <c r="G66" s="1632"/>
      <c r="H66" s="1632"/>
      <c r="I66" s="1632"/>
      <c r="J66" s="267"/>
      <c r="K66" s="344"/>
      <c r="L66" s="344"/>
      <c r="M66" s="344"/>
      <c r="N66" s="5"/>
      <c r="O66" s="5"/>
      <c r="P66" s="5"/>
      <c r="Q66" s="5"/>
      <c r="R66" s="5"/>
      <c r="S66" s="5"/>
      <c r="T66" s="5"/>
      <c r="U66" s="5"/>
    </row>
    <row r="67" spans="1:21" ht="21.95" customHeight="1" x14ac:dyDescent="0.3">
      <c r="A67" s="154" t="s">
        <v>1347</v>
      </c>
      <c r="B67" s="41"/>
      <c r="C67" s="1626"/>
      <c r="D67" s="1626"/>
      <c r="E67" s="1626"/>
      <c r="F67" s="1626"/>
      <c r="G67" s="1626"/>
      <c r="H67" s="1626"/>
      <c r="I67" s="1626"/>
      <c r="J67" s="267"/>
      <c r="K67" s="344"/>
      <c r="L67" s="344"/>
      <c r="M67" s="344"/>
      <c r="N67" s="5"/>
      <c r="O67" s="5"/>
      <c r="P67" s="5"/>
      <c r="Q67" s="5"/>
      <c r="R67" s="5"/>
      <c r="S67" s="5"/>
      <c r="T67" s="5"/>
      <c r="U67" s="5"/>
    </row>
    <row r="68" spans="1:21" ht="21.95" customHeight="1" x14ac:dyDescent="0.3">
      <c r="A68" s="154" t="s">
        <v>1348</v>
      </c>
      <c r="B68" s="41"/>
      <c r="C68" s="1633" t="s">
        <v>534</v>
      </c>
      <c r="D68" s="1634"/>
      <c r="E68" s="1634"/>
      <c r="F68" s="1634"/>
      <c r="G68" s="1634"/>
      <c r="H68" s="1635"/>
      <c r="I68" s="41"/>
      <c r="J68" s="267"/>
      <c r="K68" s="344"/>
      <c r="L68" s="344"/>
      <c r="M68" s="344"/>
      <c r="N68" s="5"/>
      <c r="O68" s="5"/>
      <c r="P68" s="5"/>
      <c r="Q68" s="5"/>
      <c r="R68" s="5"/>
      <c r="S68" s="5"/>
      <c r="T68" s="5"/>
      <c r="U68" s="5"/>
    </row>
    <row r="69" spans="1:21" ht="21.95" customHeight="1" x14ac:dyDescent="0.3">
      <c r="A69" s="154"/>
      <c r="B69" s="41"/>
      <c r="C69" s="1636"/>
      <c r="D69" s="1575"/>
      <c r="E69" s="1575"/>
      <c r="F69" s="1575"/>
      <c r="G69" s="1575"/>
      <c r="H69" s="1637"/>
      <c r="I69" s="41"/>
      <c r="J69" s="267"/>
      <c r="K69" s="344"/>
      <c r="L69" s="344"/>
      <c r="M69" s="344"/>
      <c r="N69" s="5"/>
      <c r="O69" s="5"/>
      <c r="P69" s="5"/>
      <c r="Q69" s="5"/>
      <c r="R69" s="5"/>
      <c r="S69" s="5"/>
      <c r="T69" s="5"/>
      <c r="U69" s="5"/>
    </row>
    <row r="70" spans="1:21" ht="21.95" customHeight="1" x14ac:dyDescent="0.3">
      <c r="A70" s="1580" t="s">
        <v>448</v>
      </c>
      <c r="B70" s="1580"/>
      <c r="C70" s="1580"/>
      <c r="D70" s="1580"/>
      <c r="E70" s="1580"/>
      <c r="F70" s="1580"/>
      <c r="G70" s="1580"/>
      <c r="H70" s="1580"/>
      <c r="I70" s="1574" t="s">
        <v>354</v>
      </c>
      <c r="J70" s="267"/>
      <c r="K70" s="344"/>
      <c r="L70" s="344"/>
      <c r="M70" s="344"/>
      <c r="N70" s="5"/>
      <c r="O70" s="5"/>
      <c r="P70" s="5"/>
      <c r="Q70" s="5"/>
      <c r="R70" s="5"/>
      <c r="S70" s="5"/>
      <c r="T70" s="5"/>
      <c r="U70" s="5"/>
    </row>
    <row r="71" spans="1:21" ht="21.95" customHeight="1" x14ac:dyDescent="0.3">
      <c r="A71" s="1580"/>
      <c r="B71" s="1580"/>
      <c r="C71" s="1580"/>
      <c r="D71" s="1580"/>
      <c r="E71" s="1580"/>
      <c r="F71" s="1580"/>
      <c r="G71" s="1580"/>
      <c r="H71" s="1580"/>
      <c r="I71" s="1574"/>
      <c r="J71" s="267"/>
      <c r="K71" s="344"/>
      <c r="L71" s="344"/>
      <c r="M71" s="344"/>
      <c r="N71" s="5"/>
      <c r="O71" s="5"/>
      <c r="P71" s="5"/>
      <c r="Q71" s="5"/>
      <c r="R71" s="5"/>
      <c r="S71" s="5"/>
      <c r="T71" s="5"/>
      <c r="U71" s="5"/>
    </row>
    <row r="72" spans="1:21" ht="20.25" customHeight="1" x14ac:dyDescent="0.3">
      <c r="A72" s="1580"/>
      <c r="B72" s="1580"/>
      <c r="C72" s="1580"/>
      <c r="D72" s="1580"/>
      <c r="E72" s="1580"/>
      <c r="F72" s="1580"/>
      <c r="G72" s="1580"/>
      <c r="H72" s="1580"/>
      <c r="I72" s="1574"/>
      <c r="J72" s="267"/>
      <c r="K72" s="344"/>
      <c r="L72" s="344"/>
      <c r="M72" s="344"/>
      <c r="N72" s="5"/>
      <c r="O72" s="5"/>
      <c r="P72" s="5"/>
      <c r="Q72" s="5"/>
      <c r="R72" s="5"/>
      <c r="S72" s="5"/>
      <c r="T72" s="5"/>
      <c r="U72" s="5"/>
    </row>
    <row r="73" spans="1:21" ht="20.25" customHeight="1" x14ac:dyDescent="0.3">
      <c r="B73" s="46"/>
      <c r="C73" s="46"/>
      <c r="D73" s="161"/>
      <c r="E73" s="161"/>
      <c r="F73" s="161"/>
      <c r="G73" s="161"/>
      <c r="H73" s="161"/>
      <c r="I73" s="161"/>
      <c r="J73" s="267"/>
      <c r="K73" s="344"/>
      <c r="L73" s="344"/>
      <c r="M73" s="344"/>
      <c r="N73" s="5"/>
      <c r="O73" s="5"/>
      <c r="P73" s="5"/>
      <c r="Q73" s="5"/>
      <c r="R73" s="5"/>
      <c r="S73" s="5"/>
      <c r="T73" s="5"/>
      <c r="U73" s="5"/>
    </row>
    <row r="74" spans="1:21" x14ac:dyDescent="0.3">
      <c r="B74" s="45"/>
      <c r="C74" s="45"/>
      <c r="J74" s="267"/>
      <c r="K74" s="344"/>
      <c r="L74" s="344"/>
      <c r="M74" s="344"/>
      <c r="N74" s="41"/>
      <c r="O74" s="41"/>
      <c r="P74" s="41"/>
      <c r="Q74" s="41"/>
      <c r="R74" s="41"/>
      <c r="S74" s="41"/>
      <c r="T74" s="5"/>
      <c r="U74" s="5"/>
    </row>
    <row r="75" spans="1:21" ht="20.25" customHeight="1" x14ac:dyDescent="0.3">
      <c r="J75" s="268"/>
      <c r="K75" s="344"/>
      <c r="L75" s="344"/>
      <c r="M75" s="344"/>
      <c r="N75" s="5"/>
      <c r="O75" s="5"/>
      <c r="P75" s="5"/>
      <c r="Q75" s="5"/>
      <c r="R75" s="5"/>
      <c r="S75" s="5"/>
      <c r="T75" s="5"/>
      <c r="U75" s="5"/>
    </row>
    <row r="76" spans="1:21" x14ac:dyDescent="0.3">
      <c r="A76" s="5"/>
      <c r="B76" s="5"/>
      <c r="C76" s="5"/>
      <c r="D76" s="5"/>
      <c r="E76" s="5"/>
      <c r="F76" s="5"/>
      <c r="G76" s="5"/>
      <c r="H76" s="5"/>
      <c r="I76" s="5"/>
      <c r="J76" s="266"/>
      <c r="K76" s="15"/>
      <c r="L76" s="15"/>
      <c r="M76" s="15"/>
      <c r="N76" s="5"/>
      <c r="O76" s="5"/>
      <c r="P76" s="5"/>
      <c r="Q76" s="5"/>
      <c r="R76" s="5"/>
      <c r="S76" s="5"/>
      <c r="T76" s="5"/>
      <c r="U76" s="5"/>
    </row>
    <row r="77" spans="1:21" ht="33.75" x14ac:dyDescent="0.3">
      <c r="A77" s="66" t="s">
        <v>26</v>
      </c>
      <c r="B77" s="43">
        <v>0</v>
      </c>
      <c r="C77" s="5"/>
      <c r="J77" s="266"/>
      <c r="K77" s="15"/>
      <c r="L77" s="15"/>
      <c r="M77" s="15"/>
      <c r="N77" s="5"/>
      <c r="O77" s="5"/>
      <c r="P77" s="5"/>
      <c r="Q77" s="5"/>
      <c r="R77" s="5"/>
      <c r="S77" s="5"/>
      <c r="T77" s="5"/>
      <c r="U77" s="5"/>
    </row>
    <row r="78" spans="1:21" x14ac:dyDescent="0.3">
      <c r="A78" s="14"/>
      <c r="B78" s="5"/>
      <c r="C78" s="5"/>
      <c r="J78" s="266"/>
      <c r="K78" s="15"/>
      <c r="L78" s="15"/>
      <c r="M78" s="15"/>
      <c r="N78" s="5"/>
      <c r="O78" s="5"/>
      <c r="P78" s="5"/>
      <c r="Q78" s="5"/>
      <c r="R78" s="5"/>
      <c r="S78" s="5"/>
      <c r="T78" s="5"/>
      <c r="U78" s="5"/>
    </row>
    <row r="79" spans="1:21" x14ac:dyDescent="0.2">
      <c r="A79" s="12"/>
      <c r="B79" s="12"/>
      <c r="J79" s="269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3"/>
    </row>
    <row r="80" spans="1:21" x14ac:dyDescent="0.2">
      <c r="A80" s="12"/>
      <c r="B80" s="12"/>
      <c r="I80" s="12"/>
      <c r="J80" s="269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3"/>
    </row>
    <row r="81" spans="1:21" ht="14.25" customHeight="1" x14ac:dyDescent="0.3">
      <c r="A81" s="12"/>
      <c r="B81" s="12"/>
      <c r="I81" s="12"/>
      <c r="J81" s="269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5"/>
    </row>
    <row r="82" spans="1:21" x14ac:dyDescent="0.3">
      <c r="A82" s="5"/>
      <c r="B82" s="5"/>
      <c r="I82" s="5"/>
      <c r="J82" s="266"/>
      <c r="K82" s="15"/>
      <c r="L82" s="15"/>
      <c r="M82" s="15"/>
      <c r="N82" s="5"/>
      <c r="O82" s="5"/>
      <c r="P82" s="5"/>
      <c r="Q82" s="5"/>
      <c r="R82" s="5"/>
      <c r="S82" s="5"/>
      <c r="T82" s="5"/>
      <c r="U82" s="5"/>
    </row>
  </sheetData>
  <mergeCells count="40">
    <mergeCell ref="C66:I66"/>
    <mergeCell ref="C67:I67"/>
    <mergeCell ref="C68:H69"/>
    <mergeCell ref="A70:H72"/>
    <mergeCell ref="I70:I72"/>
    <mergeCell ref="B3:C3"/>
    <mergeCell ref="C4:C16"/>
    <mergeCell ref="B53:C53"/>
    <mergeCell ref="B55:C55"/>
    <mergeCell ref="B52:C52"/>
    <mergeCell ref="B50:C50"/>
    <mergeCell ref="B4:B12"/>
    <mergeCell ref="B14:B20"/>
    <mergeCell ref="C21:C39"/>
    <mergeCell ref="B51:C51"/>
    <mergeCell ref="B54:C54"/>
    <mergeCell ref="B48:C48"/>
    <mergeCell ref="B49:C49"/>
    <mergeCell ref="H4:H16"/>
    <mergeCell ref="C40:C41"/>
    <mergeCell ref="C42:C47"/>
    <mergeCell ref="B21:B37"/>
    <mergeCell ref="B39:B47"/>
    <mergeCell ref="C17:C20"/>
    <mergeCell ref="H42:H45"/>
    <mergeCell ref="H46:H47"/>
    <mergeCell ref="H17:H18"/>
    <mergeCell ref="H19:H20"/>
    <mergeCell ref="H21:H29"/>
    <mergeCell ref="H31:H39"/>
    <mergeCell ref="B56:C56"/>
    <mergeCell ref="B59:E59"/>
    <mergeCell ref="B60:E60"/>
    <mergeCell ref="B61:E61"/>
    <mergeCell ref="A4:A47"/>
    <mergeCell ref="B62:E62"/>
    <mergeCell ref="B57:C57"/>
    <mergeCell ref="C63:I64"/>
    <mergeCell ref="C65:I65"/>
    <mergeCell ref="B58:C58"/>
  </mergeCells>
  <phoneticPr fontId="26" type="noConversion"/>
  <conditionalFormatting sqref="A63">
    <cfRule type="cellIs" dxfId="6" priority="1" operator="equal">
      <formula>0</formula>
    </cfRule>
  </conditionalFormatting>
  <printOptions horizontalCentered="1"/>
  <pageMargins left="3.937007874015748E-2" right="3.937007874015748E-2" top="3.937007874015748E-2" bottom="3.937007874015748E-2" header="0.31496062992125984" footer="0.31496062992125984"/>
  <pageSetup paperSize="9" scale="35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>
    <tabColor rgb="FFC00000"/>
    <pageSetUpPr fitToPage="1"/>
  </sheetPr>
  <dimension ref="A1:Q58"/>
  <sheetViews>
    <sheetView showGridLines="0" zoomScale="55" zoomScaleNormal="55" zoomScaleSheetLayoutView="55" zoomScalePageLayoutView="40" workbookViewId="0">
      <selection activeCell="G2" sqref="G2"/>
    </sheetView>
  </sheetViews>
  <sheetFormatPr defaultRowHeight="23.25" x14ac:dyDescent="0.35"/>
  <cols>
    <col min="1" max="1" width="38.140625" style="1" customWidth="1"/>
    <col min="2" max="2" width="90.85546875" style="1" customWidth="1"/>
    <col min="3" max="3" width="28.7109375" style="1" customWidth="1"/>
    <col min="4" max="4" width="30.7109375" style="1" customWidth="1"/>
    <col min="5" max="5" width="23.5703125" style="1" customWidth="1"/>
    <col min="6" max="6" width="35.7109375" style="1" customWidth="1"/>
    <col min="7" max="7" width="30.7109375" style="1" customWidth="1"/>
    <col min="8" max="8" width="11.5703125" style="79" hidden="1" customWidth="1"/>
    <col min="9" max="9" width="16.140625" style="1" customWidth="1"/>
    <col min="10" max="12" width="15.42578125" style="1" bestFit="1" customWidth="1"/>
    <col min="13" max="16" width="9.140625" style="1"/>
    <col min="17" max="17" width="13.5703125" style="1" customWidth="1"/>
    <col min="18" max="16384" width="9.140625" style="1"/>
  </cols>
  <sheetData>
    <row r="1" spans="1:17" ht="75.75" customHeight="1" x14ac:dyDescent="0.4">
      <c r="C1" s="89"/>
      <c r="D1" s="89"/>
      <c r="E1" s="89"/>
      <c r="F1" s="89"/>
      <c r="G1" s="89"/>
      <c r="H1" s="80"/>
      <c r="I1" s="19"/>
      <c r="J1" s="19"/>
      <c r="K1" s="19"/>
      <c r="L1" s="19"/>
      <c r="M1" s="19"/>
      <c r="N1" s="19"/>
      <c r="O1" s="19"/>
      <c r="P1" s="19"/>
      <c r="Q1" s="19"/>
    </row>
    <row r="2" spans="1:17" ht="33" customHeight="1" x14ac:dyDescent="0.3">
      <c r="B2" s="1682" t="s">
        <v>160</v>
      </c>
      <c r="C2" s="1682"/>
      <c r="D2" s="1682"/>
      <c r="E2" s="138"/>
      <c r="F2" s="158" t="s">
        <v>132</v>
      </c>
      <c r="G2" s="348">
        <f>'Панельные ограждения GL (стр.1)'!N2</f>
        <v>46197</v>
      </c>
      <c r="H2" s="348"/>
      <c r="I2" s="20"/>
      <c r="J2" s="5"/>
      <c r="K2" s="5"/>
      <c r="L2" s="5"/>
      <c r="M2" s="5"/>
      <c r="N2" s="5"/>
      <c r="O2" s="5"/>
      <c r="P2" s="5"/>
      <c r="Q2" s="5"/>
    </row>
    <row r="3" spans="1:17" ht="75" customHeight="1" x14ac:dyDescent="0.35">
      <c r="A3" s="224" t="s">
        <v>76</v>
      </c>
      <c r="B3" s="1597" t="s">
        <v>71</v>
      </c>
      <c r="C3" s="1598"/>
      <c r="D3" s="225"/>
      <c r="E3" s="224" t="s">
        <v>12</v>
      </c>
      <c r="F3" s="224" t="s">
        <v>80</v>
      </c>
      <c r="G3" s="226" t="s">
        <v>351</v>
      </c>
      <c r="H3" s="230" t="s">
        <v>10</v>
      </c>
      <c r="I3" s="5"/>
      <c r="J3" s="5"/>
      <c r="K3" s="5"/>
      <c r="L3" s="5"/>
      <c r="M3" s="5"/>
      <c r="N3" s="5"/>
      <c r="O3" s="5"/>
      <c r="P3" s="5"/>
    </row>
    <row r="4" spans="1:17" ht="56.1" customHeight="1" x14ac:dyDescent="0.3">
      <c r="A4" s="21"/>
      <c r="B4" s="131" t="s">
        <v>703</v>
      </c>
      <c r="C4" s="7">
        <v>0.55000000000000004</v>
      </c>
      <c r="D4" s="123" t="s">
        <v>8</v>
      </c>
      <c r="E4" s="9">
        <v>1.25</v>
      </c>
      <c r="F4" s="47">
        <v>16</v>
      </c>
      <c r="G4" s="70">
        <f t="shared" ref="G4:G16" si="0">ROUND(H4*BelarusV_LFzn*(1-$B$52),2)</f>
        <v>1374</v>
      </c>
      <c r="H4" s="504">
        <v>1374</v>
      </c>
      <c r="I4" s="313"/>
      <c r="J4" s="5"/>
      <c r="K4" s="263"/>
      <c r="L4" s="5"/>
      <c r="M4" s="5"/>
      <c r="N4" s="5"/>
      <c r="O4" s="5"/>
      <c r="P4" s="5"/>
    </row>
    <row r="5" spans="1:17" ht="56.1" customHeight="1" x14ac:dyDescent="0.3">
      <c r="A5" s="21"/>
      <c r="B5" s="131" t="s">
        <v>704</v>
      </c>
      <c r="C5" s="7">
        <v>0.55000000000000004</v>
      </c>
      <c r="D5" s="123" t="s">
        <v>8</v>
      </c>
      <c r="E5" s="9">
        <v>1.97</v>
      </c>
      <c r="F5" s="47">
        <v>16</v>
      </c>
      <c r="G5" s="70">
        <f t="shared" si="0"/>
        <v>1712</v>
      </c>
      <c r="H5" s="504">
        <v>1712</v>
      </c>
      <c r="I5" s="313"/>
      <c r="J5" s="5"/>
      <c r="K5" s="263"/>
      <c r="L5" s="5"/>
      <c r="M5" s="5"/>
      <c r="N5" s="5"/>
      <c r="O5" s="5"/>
      <c r="P5" s="5"/>
    </row>
    <row r="6" spans="1:17" ht="56.1" customHeight="1" x14ac:dyDescent="0.3">
      <c r="A6" s="21"/>
      <c r="B6" s="131" t="s">
        <v>69</v>
      </c>
      <c r="C6" s="7">
        <v>0.55000000000000004</v>
      </c>
      <c r="D6" s="123" t="s">
        <v>8</v>
      </c>
      <c r="E6" s="9">
        <v>1.08</v>
      </c>
      <c r="F6" s="47">
        <v>20</v>
      </c>
      <c r="G6" s="70">
        <f t="shared" si="0"/>
        <v>615</v>
      </c>
      <c r="H6" s="504">
        <v>615</v>
      </c>
      <c r="I6" s="313"/>
      <c r="J6" s="5"/>
      <c r="K6" s="263"/>
      <c r="L6" s="5"/>
      <c r="M6" s="5"/>
      <c r="N6" s="5"/>
      <c r="O6" s="5"/>
      <c r="P6" s="5"/>
    </row>
    <row r="7" spans="1:17" ht="56.1" customHeight="1" x14ac:dyDescent="0.3">
      <c r="A7" s="21"/>
      <c r="B7" s="131" t="s">
        <v>705</v>
      </c>
      <c r="C7" s="7">
        <v>0.55000000000000004</v>
      </c>
      <c r="D7" s="123" t="s">
        <v>8</v>
      </c>
      <c r="E7" s="9" t="s">
        <v>18</v>
      </c>
      <c r="F7" s="47" t="s">
        <v>18</v>
      </c>
      <c r="G7" s="70">
        <f t="shared" si="0"/>
        <v>1538</v>
      </c>
      <c r="H7" s="504">
        <v>1538</v>
      </c>
      <c r="I7" s="313"/>
      <c r="J7" s="5"/>
      <c r="K7" s="263"/>
      <c r="L7" s="5"/>
      <c r="M7" s="5"/>
      <c r="N7" s="5"/>
      <c r="O7" s="5"/>
      <c r="P7" s="5"/>
    </row>
    <row r="8" spans="1:17" ht="56.1" customHeight="1" x14ac:dyDescent="0.3">
      <c r="A8" s="21"/>
      <c r="B8" s="131" t="s">
        <v>706</v>
      </c>
      <c r="C8" s="7">
        <v>0.55000000000000004</v>
      </c>
      <c r="D8" s="123" t="s">
        <v>8</v>
      </c>
      <c r="E8" s="9" t="s">
        <v>18</v>
      </c>
      <c r="F8" s="47" t="s">
        <v>123</v>
      </c>
      <c r="G8" s="70">
        <f t="shared" si="0"/>
        <v>1876</v>
      </c>
      <c r="H8" s="504">
        <v>1876</v>
      </c>
      <c r="I8" s="313"/>
      <c r="J8" s="5"/>
      <c r="K8" s="263"/>
      <c r="L8" s="5"/>
      <c r="M8" s="5"/>
      <c r="N8" s="5"/>
      <c r="O8" s="5"/>
      <c r="P8" s="5"/>
    </row>
    <row r="9" spans="1:17" ht="39.950000000000003" customHeight="1" x14ac:dyDescent="0.3">
      <c r="A9" s="1644"/>
      <c r="B9" s="131" t="s">
        <v>335</v>
      </c>
      <c r="C9" s="7">
        <v>0.55000000000000004</v>
      </c>
      <c r="D9" s="1667" t="s">
        <v>8</v>
      </c>
      <c r="E9" s="9">
        <v>1.1000000000000001</v>
      </c>
      <c r="F9" s="47" t="s">
        <v>123</v>
      </c>
      <c r="G9" s="70">
        <f t="shared" si="0"/>
        <v>1269</v>
      </c>
      <c r="H9" s="504">
        <v>1269</v>
      </c>
      <c r="I9" s="313"/>
      <c r="J9" s="5"/>
      <c r="K9" s="263"/>
      <c r="L9" s="5"/>
      <c r="M9" s="5"/>
      <c r="N9" s="5"/>
      <c r="O9" s="5"/>
      <c r="P9" s="5"/>
    </row>
    <row r="10" spans="1:17" ht="39.950000000000003" customHeight="1" x14ac:dyDescent="0.3">
      <c r="A10" s="1645"/>
      <c r="B10" s="131" t="s">
        <v>336</v>
      </c>
      <c r="C10" s="7">
        <v>0.95</v>
      </c>
      <c r="D10" s="1668"/>
      <c r="E10" s="9">
        <v>1.86</v>
      </c>
      <c r="F10" s="47" t="s">
        <v>123</v>
      </c>
      <c r="G10" s="70">
        <f t="shared" si="0"/>
        <v>2818</v>
      </c>
      <c r="H10" s="504">
        <v>2818</v>
      </c>
      <c r="I10" s="313"/>
      <c r="J10" s="5"/>
      <c r="K10" s="263"/>
      <c r="L10" s="5"/>
      <c r="M10" s="5"/>
      <c r="N10" s="5"/>
      <c r="O10" s="5"/>
      <c r="P10" s="5"/>
    </row>
    <row r="11" spans="1:17" ht="56.1" customHeight="1" x14ac:dyDescent="0.3">
      <c r="A11" s="120"/>
      <c r="B11" s="131" t="s">
        <v>250</v>
      </c>
      <c r="C11" s="7">
        <v>0.5</v>
      </c>
      <c r="D11" s="123" t="s">
        <v>8</v>
      </c>
      <c r="E11" s="64">
        <v>0.41</v>
      </c>
      <c r="F11" s="47" t="s">
        <v>123</v>
      </c>
      <c r="G11" s="70">
        <f t="shared" si="0"/>
        <v>523</v>
      </c>
      <c r="H11" s="505">
        <v>523</v>
      </c>
      <c r="I11" s="313"/>
      <c r="J11" s="5"/>
      <c r="K11" s="263"/>
      <c r="L11" s="5"/>
      <c r="M11" s="5"/>
      <c r="N11" s="5"/>
      <c r="O11" s="5"/>
      <c r="P11" s="5"/>
    </row>
    <row r="12" spans="1:17" ht="56.1" customHeight="1" x14ac:dyDescent="0.3">
      <c r="A12" s="262"/>
      <c r="B12" s="131" t="s">
        <v>251</v>
      </c>
      <c r="C12" s="7">
        <v>0.5</v>
      </c>
      <c r="D12" s="123" t="s">
        <v>8</v>
      </c>
      <c r="E12" s="64">
        <v>0.74</v>
      </c>
      <c r="F12" s="47" t="s">
        <v>123</v>
      </c>
      <c r="G12" s="70">
        <f t="shared" si="0"/>
        <v>1036</v>
      </c>
      <c r="H12" s="506">
        <v>1036</v>
      </c>
      <c r="I12" s="313"/>
      <c r="J12" s="5"/>
      <c r="K12" s="5"/>
      <c r="L12" s="5"/>
      <c r="M12" s="5"/>
      <c r="N12" s="5"/>
      <c r="O12" s="5"/>
      <c r="P12" s="5"/>
    </row>
    <row r="13" spans="1:17" ht="56.1" customHeight="1" x14ac:dyDescent="0.3">
      <c r="A13" s="262"/>
      <c r="B13" s="131" t="s">
        <v>343</v>
      </c>
      <c r="C13" s="7" t="s">
        <v>294</v>
      </c>
      <c r="D13" s="123" t="s">
        <v>137</v>
      </c>
      <c r="E13" s="9">
        <v>5.67</v>
      </c>
      <c r="F13" s="47" t="s">
        <v>123</v>
      </c>
      <c r="G13" s="70">
        <f t="shared" si="0"/>
        <v>6923</v>
      </c>
      <c r="H13" s="504">
        <v>6923</v>
      </c>
      <c r="I13" s="313"/>
      <c r="J13" s="5"/>
      <c r="K13" s="5"/>
      <c r="L13" s="5"/>
      <c r="M13" s="5"/>
      <c r="N13" s="5"/>
      <c r="O13" s="5"/>
      <c r="P13" s="5"/>
    </row>
    <row r="14" spans="1:17" ht="69.95" customHeight="1" x14ac:dyDescent="0.3">
      <c r="A14" s="442"/>
      <c r="B14" s="443" t="s">
        <v>491</v>
      </c>
      <c r="C14" s="446">
        <v>0.6</v>
      </c>
      <c r="D14" s="445" t="s">
        <v>8</v>
      </c>
      <c r="E14" s="446">
        <v>2.2599999999999998</v>
      </c>
      <c r="F14" s="447">
        <v>70</v>
      </c>
      <c r="G14" s="604">
        <f t="shared" si="0"/>
        <v>1909</v>
      </c>
      <c r="H14" s="1301">
        <v>1909</v>
      </c>
      <c r="I14" s="313"/>
      <c r="J14" s="5"/>
      <c r="K14" s="5"/>
      <c r="L14" s="5"/>
      <c r="M14" s="5"/>
      <c r="N14" s="5"/>
      <c r="O14" s="5"/>
    </row>
    <row r="15" spans="1:17" ht="69.95" customHeight="1" x14ac:dyDescent="0.3">
      <c r="A15" s="442"/>
      <c r="B15" s="444" t="s">
        <v>492</v>
      </c>
      <c r="C15" s="446" t="s">
        <v>483</v>
      </c>
      <c r="D15" s="445" t="s">
        <v>8</v>
      </c>
      <c r="E15" s="447">
        <v>5.19</v>
      </c>
      <c r="F15" s="447"/>
      <c r="G15" s="604">
        <f t="shared" si="0"/>
        <v>4095</v>
      </c>
      <c r="H15" s="507">
        <v>4095</v>
      </c>
      <c r="I15" s="313"/>
      <c r="J15" s="5"/>
      <c r="K15" s="5"/>
      <c r="L15" s="5"/>
      <c r="M15" s="5"/>
      <c r="N15" s="5"/>
      <c r="O15" s="5"/>
      <c r="P15" s="5"/>
    </row>
    <row r="16" spans="1:17" ht="65.099999999999994" customHeight="1" x14ac:dyDescent="0.3">
      <c r="A16" s="1654"/>
      <c r="B16" s="594" t="s">
        <v>461</v>
      </c>
      <c r="C16" s="1677" t="s">
        <v>452</v>
      </c>
      <c r="D16" s="1677" t="s">
        <v>453</v>
      </c>
      <c r="E16" s="1642">
        <v>6.66</v>
      </c>
      <c r="F16" s="1642"/>
      <c r="G16" s="1640">
        <f t="shared" si="0"/>
        <v>431</v>
      </c>
      <c r="H16" s="612">
        <v>431</v>
      </c>
      <c r="I16" s="313"/>
      <c r="J16" s="5"/>
      <c r="K16" s="5"/>
      <c r="L16" s="5"/>
      <c r="M16" s="5"/>
      <c r="N16" s="5"/>
      <c r="O16" s="5"/>
      <c r="P16" s="5"/>
    </row>
    <row r="17" spans="1:16" ht="65.099999999999994" customHeight="1" x14ac:dyDescent="0.3">
      <c r="A17" s="1655"/>
      <c r="B17" s="594" t="s">
        <v>462</v>
      </c>
      <c r="C17" s="1678"/>
      <c r="D17" s="1678"/>
      <c r="E17" s="1643"/>
      <c r="F17" s="1643"/>
      <c r="G17" s="1641"/>
      <c r="H17" s="612"/>
      <c r="I17" s="313"/>
      <c r="J17" s="5"/>
      <c r="K17" s="5"/>
      <c r="L17" s="5"/>
      <c r="M17" s="5"/>
      <c r="N17" s="5"/>
      <c r="O17" s="5"/>
      <c r="P17" s="5"/>
    </row>
    <row r="18" spans="1:16" ht="60" customHeight="1" x14ac:dyDescent="0.3">
      <c r="A18" s="1654"/>
      <c r="B18" s="444" t="s">
        <v>460</v>
      </c>
      <c r="C18" s="564" t="s">
        <v>458</v>
      </c>
      <c r="D18" s="445" t="s">
        <v>9</v>
      </c>
      <c r="E18" s="447">
        <v>0.13</v>
      </c>
      <c r="F18" s="447"/>
      <c r="G18" s="604">
        <f>ROUND(H18*BelarusV_LFzn*(1-$B$52),2)</f>
        <v>175</v>
      </c>
      <c r="H18" s="507">
        <v>175</v>
      </c>
      <c r="I18" s="313"/>
      <c r="J18" s="5"/>
      <c r="K18" s="5"/>
      <c r="L18" s="5"/>
      <c r="M18" s="5"/>
      <c r="N18" s="5"/>
      <c r="O18" s="5"/>
      <c r="P18" s="5"/>
    </row>
    <row r="19" spans="1:16" ht="60" customHeight="1" x14ac:dyDescent="0.3">
      <c r="A19" s="1656"/>
      <c r="B19" s="444" t="s">
        <v>459</v>
      </c>
      <c r="C19" s="851" t="s">
        <v>454</v>
      </c>
      <c r="D19" s="445" t="s">
        <v>9</v>
      </c>
      <c r="E19" s="447">
        <v>2.8000000000000001E-2</v>
      </c>
      <c r="F19" s="447"/>
      <c r="G19" s="604">
        <f>ROUND(H19*BelarusV_LFzn*(1-$B$52),2)</f>
        <v>114</v>
      </c>
      <c r="H19" s="507">
        <v>114</v>
      </c>
      <c r="I19" s="313"/>
      <c r="J19" s="5"/>
      <c r="K19" s="5"/>
      <c r="L19" s="5"/>
      <c r="M19" s="5"/>
      <c r="N19" s="5"/>
      <c r="O19" s="5"/>
      <c r="P19" s="5"/>
    </row>
    <row r="20" spans="1:16" ht="69.95" customHeight="1" x14ac:dyDescent="0.3">
      <c r="A20" s="1655"/>
      <c r="B20" s="444" t="s">
        <v>763</v>
      </c>
      <c r="C20" s="851" t="s">
        <v>455</v>
      </c>
      <c r="D20" s="445" t="s">
        <v>9</v>
      </c>
      <c r="E20" s="447">
        <v>0.8</v>
      </c>
      <c r="F20" s="447"/>
      <c r="G20" s="604">
        <f>ROUND(H20*BelarusV_LFzn*(1-$B$52),2)</f>
        <v>2295</v>
      </c>
      <c r="H20" s="507">
        <v>2295</v>
      </c>
      <c r="I20" s="313"/>
      <c r="J20" s="5"/>
      <c r="K20" s="5"/>
      <c r="L20" s="5"/>
      <c r="M20" s="5"/>
      <c r="N20" s="5"/>
      <c r="O20" s="5"/>
      <c r="P20" s="5"/>
    </row>
    <row r="21" spans="1:16" ht="56.1" customHeight="1" x14ac:dyDescent="0.3">
      <c r="A21" s="21"/>
      <c r="B21" s="1625" t="s">
        <v>701</v>
      </c>
      <c r="C21" s="1625"/>
      <c r="D21" s="123" t="s">
        <v>9</v>
      </c>
      <c r="E21" s="8">
        <v>2E-3</v>
      </c>
      <c r="F21" s="47">
        <v>2000</v>
      </c>
      <c r="G21" s="70">
        <f>ROUND(H21*BelarusV_LFzn*(1-$B$52),2)</f>
        <v>24</v>
      </c>
      <c r="H21" s="1301">
        <v>24</v>
      </c>
      <c r="I21" s="313"/>
      <c r="J21" s="5"/>
      <c r="K21" s="5"/>
      <c r="L21" s="5"/>
      <c r="M21" s="5"/>
      <c r="N21" s="5"/>
      <c r="O21" s="5"/>
      <c r="P21" s="5"/>
    </row>
    <row r="22" spans="1:16" ht="90" customHeight="1" x14ac:dyDescent="0.3">
      <c r="A22" s="6"/>
      <c r="B22" s="1627" t="s">
        <v>499</v>
      </c>
      <c r="C22" s="1683"/>
      <c r="D22" s="123" t="s">
        <v>8</v>
      </c>
      <c r="E22" s="118">
        <v>0.72</v>
      </c>
      <c r="F22" s="119">
        <v>2</v>
      </c>
      <c r="G22" s="699">
        <f>ROUND(H22*BelarusV_LFzn*(1-$B$52),2)</f>
        <v>985</v>
      </c>
      <c r="H22" s="504">
        <v>985</v>
      </c>
      <c r="I22" s="313"/>
      <c r="J22" s="5"/>
      <c r="K22" s="5"/>
      <c r="L22" s="5"/>
      <c r="M22" s="5"/>
      <c r="N22" s="5"/>
      <c r="O22" s="5"/>
      <c r="P22" s="5"/>
    </row>
    <row r="23" spans="1:16" ht="56.1" customHeight="1" x14ac:dyDescent="0.3">
      <c r="A23" s="1555"/>
      <c r="B23" s="1633" t="s">
        <v>215</v>
      </c>
      <c r="C23" s="131" t="s">
        <v>171</v>
      </c>
      <c r="D23" s="123" t="s">
        <v>717</v>
      </c>
      <c r="E23" s="73" t="s">
        <v>277</v>
      </c>
      <c r="F23" s="119" t="s">
        <v>301</v>
      </c>
      <c r="G23" s="61">
        <f t="shared" ref="G23:G26" si="1">ROUND(H23*BelarusV*(1-$B$52),2)</f>
        <v>672</v>
      </c>
      <c r="H23" s="504">
        <v>672</v>
      </c>
      <c r="I23" s="313"/>
      <c r="J23" s="5"/>
      <c r="K23" s="5"/>
      <c r="L23" s="5"/>
      <c r="M23" s="5"/>
      <c r="N23" s="5"/>
      <c r="O23" s="5"/>
      <c r="P23" s="5"/>
    </row>
    <row r="24" spans="1:16" ht="51.75" customHeight="1" x14ac:dyDescent="0.3">
      <c r="A24" s="1556"/>
      <c r="B24" s="1666"/>
      <c r="C24" s="131" t="s">
        <v>613</v>
      </c>
      <c r="D24" s="123" t="s">
        <v>718</v>
      </c>
      <c r="E24" s="64">
        <v>3.22</v>
      </c>
      <c r="F24" s="119">
        <v>40</v>
      </c>
      <c r="G24" s="61">
        <f t="shared" si="1"/>
        <v>1601</v>
      </c>
      <c r="H24" s="504">
        <v>1601</v>
      </c>
      <c r="I24" s="313"/>
      <c r="J24" s="5"/>
      <c r="K24" s="5"/>
      <c r="L24" s="5"/>
      <c r="M24" s="5"/>
      <c r="N24" s="5"/>
      <c r="O24" s="5"/>
      <c r="P24" s="5"/>
    </row>
    <row r="25" spans="1:16" ht="51.75" customHeight="1" x14ac:dyDescent="0.3">
      <c r="A25" s="1557"/>
      <c r="B25" s="1636"/>
      <c r="C25" s="131" t="s">
        <v>612</v>
      </c>
      <c r="D25" s="362" t="s">
        <v>614</v>
      </c>
      <c r="E25" s="804">
        <v>12.23</v>
      </c>
      <c r="F25" s="119"/>
      <c r="G25" s="61">
        <f t="shared" si="1"/>
        <v>6269</v>
      </c>
      <c r="H25" s="504">
        <v>6269</v>
      </c>
      <c r="I25" s="313"/>
      <c r="J25" s="5"/>
      <c r="K25" s="5"/>
      <c r="L25" s="5"/>
      <c r="M25" s="5"/>
      <c r="N25" s="5"/>
      <c r="O25" s="5"/>
      <c r="P25" s="5"/>
    </row>
    <row r="26" spans="1:16" ht="56.1" customHeight="1" x14ac:dyDescent="0.3">
      <c r="A26" s="47"/>
      <c r="B26" s="1627" t="s">
        <v>216</v>
      </c>
      <c r="C26" s="1685"/>
      <c r="D26" s="135"/>
      <c r="E26" s="136"/>
      <c r="F26" s="119" t="s">
        <v>123</v>
      </c>
      <c r="G26" s="121">
        <f t="shared" si="1"/>
        <v>537</v>
      </c>
      <c r="H26" s="504">
        <v>537</v>
      </c>
      <c r="I26" s="313"/>
      <c r="J26" s="5"/>
      <c r="K26" s="5"/>
      <c r="L26" s="5"/>
      <c r="M26" s="5"/>
      <c r="N26" s="5"/>
      <c r="O26" s="5"/>
      <c r="P26" s="5"/>
    </row>
    <row r="27" spans="1:16" ht="56.1" customHeight="1" x14ac:dyDescent="0.3">
      <c r="A27" s="119"/>
      <c r="B27" s="1627" t="s">
        <v>702</v>
      </c>
      <c r="C27" s="1628"/>
      <c r="D27" s="124" t="s">
        <v>9</v>
      </c>
      <c r="E27" s="64">
        <v>0.11</v>
      </c>
      <c r="F27" s="119" t="s">
        <v>123</v>
      </c>
      <c r="G27" s="121">
        <f>ROUND(H27*BelarusV_LFzn*(1-$B$52),2)</f>
        <v>100</v>
      </c>
      <c r="H27" s="504">
        <v>100</v>
      </c>
      <c r="I27" s="313"/>
      <c r="J27" s="5"/>
      <c r="K27" s="5"/>
      <c r="L27" s="5"/>
      <c r="M27" s="5"/>
      <c r="N27" s="5"/>
      <c r="O27" s="5"/>
      <c r="P27" s="5"/>
    </row>
    <row r="28" spans="1:16" ht="69.95" customHeight="1" x14ac:dyDescent="0.3">
      <c r="A28" s="51"/>
      <c r="B28" s="713" t="s">
        <v>525</v>
      </c>
      <c r="C28" s="73" t="s">
        <v>172</v>
      </c>
      <c r="D28" s="456" t="s">
        <v>327</v>
      </c>
      <c r="E28" s="73">
        <v>10</v>
      </c>
      <c r="F28" s="119" t="s">
        <v>123</v>
      </c>
      <c r="G28" s="121">
        <f>ROUND(H28*BelarusV*(1-$C$52),2)</f>
        <v>5198</v>
      </c>
      <c r="H28" s="507">
        <v>5198</v>
      </c>
      <c r="I28" s="313"/>
      <c r="J28" s="5"/>
      <c r="K28" s="261"/>
      <c r="L28" s="246"/>
      <c r="M28" s="5"/>
      <c r="N28" s="5"/>
      <c r="O28" s="5"/>
      <c r="P28" s="5"/>
    </row>
    <row r="29" spans="1:16" ht="50.1" customHeight="1" x14ac:dyDescent="0.3">
      <c r="A29" s="86"/>
      <c r="B29" s="1627" t="s">
        <v>707</v>
      </c>
      <c r="C29" s="1628"/>
      <c r="D29" s="124" t="s">
        <v>5</v>
      </c>
      <c r="E29" s="73">
        <v>0.11</v>
      </c>
      <c r="F29" s="47" t="s">
        <v>123</v>
      </c>
      <c r="G29" s="121">
        <f>ROUND(H29*BelarusV_LFzn*(1-$B$52),2)</f>
        <v>103</v>
      </c>
      <c r="H29" s="504">
        <v>103</v>
      </c>
      <c r="I29" s="313"/>
      <c r="J29" s="5"/>
      <c r="K29" s="5"/>
      <c r="L29" s="5"/>
      <c r="M29" s="5"/>
      <c r="N29" s="5"/>
      <c r="O29" s="5"/>
      <c r="P29" s="5"/>
    </row>
    <row r="30" spans="1:16" ht="45" customHeight="1" x14ac:dyDescent="0.3">
      <c r="A30" s="86"/>
      <c r="B30" s="1627" t="s">
        <v>387</v>
      </c>
      <c r="C30" s="1628"/>
      <c r="D30" s="124" t="s">
        <v>7</v>
      </c>
      <c r="E30" s="73">
        <v>9.6</v>
      </c>
      <c r="F30" s="47">
        <v>1</v>
      </c>
      <c r="G30" s="121">
        <f>ROUND(H30*BelarusV*(1-$B$52),2)</f>
        <v>12906</v>
      </c>
      <c r="H30" s="504">
        <v>12906</v>
      </c>
      <c r="I30" s="313"/>
      <c r="J30" s="5"/>
      <c r="K30" s="5"/>
      <c r="L30" s="5"/>
      <c r="M30" s="5"/>
      <c r="N30" s="5"/>
      <c r="O30" s="5"/>
      <c r="P30" s="5"/>
    </row>
    <row r="31" spans="1:16" ht="75" customHeight="1" x14ac:dyDescent="0.3">
      <c r="A31" s="93"/>
      <c r="B31" s="1027" t="s">
        <v>847</v>
      </c>
      <c r="C31" s="47" t="s">
        <v>848</v>
      </c>
      <c r="D31" s="123" t="s">
        <v>846</v>
      </c>
      <c r="E31" s="73">
        <v>29</v>
      </c>
      <c r="F31" s="93"/>
      <c r="G31" s="76">
        <f t="shared" ref="G31:G42" si="2">ROUND(H31*BelarusV*(1-$D$52),2)</f>
        <v>4683</v>
      </c>
      <c r="H31" s="504">
        <v>4683</v>
      </c>
      <c r="I31" s="313"/>
      <c r="J31" s="5"/>
      <c r="K31" s="5"/>
      <c r="L31" s="5"/>
      <c r="M31" s="5"/>
      <c r="N31" s="5"/>
      <c r="O31" s="5"/>
      <c r="P31" s="5"/>
    </row>
    <row r="32" spans="1:16" x14ac:dyDescent="0.3">
      <c r="A32" s="1644"/>
      <c r="B32" s="132" t="s">
        <v>284</v>
      </c>
      <c r="C32" s="1684" t="s">
        <v>62</v>
      </c>
      <c r="D32" s="1684"/>
      <c r="E32" s="1684"/>
      <c r="F32" s="1644" t="s">
        <v>283</v>
      </c>
      <c r="G32" s="76">
        <f t="shared" si="2"/>
        <v>2567</v>
      </c>
      <c r="H32" s="504">
        <v>2567</v>
      </c>
      <c r="I32" s="313"/>
      <c r="J32" s="480"/>
      <c r="K32" s="409"/>
      <c r="L32" s="246"/>
      <c r="M32" s="5"/>
      <c r="N32" s="5"/>
      <c r="O32" s="5"/>
      <c r="P32" s="5"/>
    </row>
    <row r="33" spans="1:17" x14ac:dyDescent="0.3">
      <c r="A33" s="1649"/>
      <c r="B33" s="133" t="s">
        <v>285</v>
      </c>
      <c r="C33" s="1674" t="s">
        <v>282</v>
      </c>
      <c r="D33" s="1675"/>
      <c r="E33" s="1676"/>
      <c r="F33" s="1649"/>
      <c r="G33" s="116">
        <f t="shared" si="2"/>
        <v>3498</v>
      </c>
      <c r="H33" s="504">
        <v>3498</v>
      </c>
      <c r="I33" s="313"/>
      <c r="J33" s="5"/>
      <c r="K33" s="5"/>
      <c r="L33" s="5"/>
      <c r="M33" s="5"/>
      <c r="N33" s="5"/>
      <c r="O33" s="5"/>
      <c r="P33" s="5"/>
    </row>
    <row r="34" spans="1:17" x14ac:dyDescent="0.3">
      <c r="A34" s="1649"/>
      <c r="B34" s="133" t="s">
        <v>286</v>
      </c>
      <c r="C34" s="1657" t="s">
        <v>15</v>
      </c>
      <c r="D34" s="1658"/>
      <c r="E34" s="1659"/>
      <c r="F34" s="1649"/>
      <c r="G34" s="77">
        <f t="shared" si="2"/>
        <v>3453</v>
      </c>
      <c r="H34" s="504">
        <v>3453</v>
      </c>
      <c r="I34" s="313"/>
      <c r="J34" s="5"/>
      <c r="K34" s="5"/>
      <c r="L34" s="5"/>
      <c r="M34" s="5"/>
      <c r="N34" s="5"/>
      <c r="O34" s="5"/>
      <c r="P34" s="5"/>
    </row>
    <row r="35" spans="1:17" x14ac:dyDescent="0.3">
      <c r="A35" s="1649"/>
      <c r="B35" s="133" t="s">
        <v>287</v>
      </c>
      <c r="C35" s="1660"/>
      <c r="D35" s="1661"/>
      <c r="E35" s="1662"/>
      <c r="F35" s="1649"/>
      <c r="G35" s="77">
        <f t="shared" si="2"/>
        <v>3865</v>
      </c>
      <c r="H35" s="504">
        <v>3865</v>
      </c>
      <c r="I35" s="313"/>
      <c r="J35" s="5"/>
      <c r="K35" s="5"/>
      <c r="L35" s="5"/>
      <c r="M35" s="5"/>
      <c r="N35" s="5"/>
      <c r="O35" s="5"/>
      <c r="P35" s="5"/>
    </row>
    <row r="36" spans="1:17" x14ac:dyDescent="0.3">
      <c r="A36" s="1645"/>
      <c r="B36" s="134" t="s">
        <v>288</v>
      </c>
      <c r="C36" s="1663"/>
      <c r="D36" s="1664"/>
      <c r="E36" s="1665"/>
      <c r="F36" s="1645"/>
      <c r="G36" s="78">
        <f t="shared" si="2"/>
        <v>3991</v>
      </c>
      <c r="H36" s="504">
        <v>3991</v>
      </c>
      <c r="I36" s="313"/>
      <c r="J36" s="5"/>
      <c r="K36" s="5"/>
      <c r="L36" s="5"/>
      <c r="M36" s="5"/>
      <c r="N36" s="5"/>
      <c r="O36" s="5"/>
      <c r="P36" s="5"/>
    </row>
    <row r="37" spans="1:17" x14ac:dyDescent="0.3">
      <c r="A37" s="1644"/>
      <c r="B37" s="1029" t="s">
        <v>845</v>
      </c>
      <c r="C37" s="1650" t="s">
        <v>282</v>
      </c>
      <c r="D37" s="1651"/>
      <c r="E37" s="1652"/>
      <c r="F37" s="1644" t="s">
        <v>456</v>
      </c>
      <c r="G37" s="116">
        <f t="shared" si="2"/>
        <v>3417</v>
      </c>
      <c r="H37" s="504">
        <v>3417</v>
      </c>
      <c r="I37" s="313"/>
      <c r="J37" s="5"/>
      <c r="K37" s="5"/>
      <c r="L37" s="5"/>
      <c r="M37" s="5"/>
      <c r="N37" s="5"/>
      <c r="O37" s="5"/>
      <c r="P37" s="5"/>
    </row>
    <row r="38" spans="1:17" ht="23.25" customHeight="1" x14ac:dyDescent="0.3">
      <c r="A38" s="1649"/>
      <c r="B38" s="1028" t="s">
        <v>289</v>
      </c>
      <c r="C38" s="1671" t="s">
        <v>15</v>
      </c>
      <c r="D38" s="1671"/>
      <c r="E38" s="1671"/>
      <c r="F38" s="1649"/>
      <c r="G38" s="116">
        <f t="shared" si="2"/>
        <v>3250</v>
      </c>
      <c r="H38" s="504">
        <v>3250</v>
      </c>
      <c r="I38" s="313"/>
      <c r="J38" s="5"/>
      <c r="K38" s="5"/>
      <c r="L38" s="5"/>
      <c r="M38" s="5"/>
      <c r="N38" s="5"/>
      <c r="O38" s="5"/>
      <c r="P38" s="5"/>
    </row>
    <row r="39" spans="1:17" ht="23.25" customHeight="1" x14ac:dyDescent="0.3">
      <c r="A39" s="1649"/>
      <c r="B39" s="133" t="s">
        <v>290</v>
      </c>
      <c r="C39" s="1672"/>
      <c r="D39" s="1672"/>
      <c r="E39" s="1672"/>
      <c r="F39" s="1649"/>
      <c r="G39" s="77">
        <f t="shared" si="2"/>
        <v>3102</v>
      </c>
      <c r="H39" s="504">
        <v>3102</v>
      </c>
      <c r="I39" s="313"/>
      <c r="J39" s="5"/>
      <c r="K39" s="5"/>
      <c r="L39" s="5"/>
      <c r="M39" s="5"/>
      <c r="N39" s="5"/>
      <c r="O39" s="5"/>
      <c r="P39" s="5"/>
    </row>
    <row r="40" spans="1:17" ht="23.25" customHeight="1" x14ac:dyDescent="0.3">
      <c r="A40" s="1645"/>
      <c r="B40" s="134" t="s">
        <v>291</v>
      </c>
      <c r="C40" s="1673"/>
      <c r="D40" s="1673"/>
      <c r="E40" s="1673"/>
      <c r="F40" s="1645"/>
      <c r="G40" s="78">
        <f t="shared" si="2"/>
        <v>4527</v>
      </c>
      <c r="H40" s="504">
        <v>4527</v>
      </c>
      <c r="I40" s="313"/>
      <c r="J40" s="5"/>
      <c r="K40" s="5"/>
      <c r="L40" s="5"/>
      <c r="M40" s="5"/>
      <c r="N40" s="5"/>
      <c r="O40" s="5"/>
      <c r="P40" s="5"/>
    </row>
    <row r="41" spans="1:17" ht="23.25" customHeight="1" x14ac:dyDescent="0.3">
      <c r="A41" s="1644"/>
      <c r="B41" s="131" t="s">
        <v>158</v>
      </c>
      <c r="C41" s="1646" t="s">
        <v>61</v>
      </c>
      <c r="D41" s="1647"/>
      <c r="E41" s="1648"/>
      <c r="F41" s="120">
        <v>1</v>
      </c>
      <c r="G41" s="529">
        <f t="shared" si="2"/>
        <v>3203</v>
      </c>
      <c r="H41" s="504">
        <v>3203</v>
      </c>
      <c r="I41" s="313"/>
      <c r="J41" s="5"/>
      <c r="K41" s="5"/>
      <c r="L41" s="5"/>
      <c r="M41" s="5"/>
      <c r="N41" s="5"/>
      <c r="O41" s="5"/>
      <c r="P41" s="5"/>
    </row>
    <row r="42" spans="1:17" ht="50.1" customHeight="1" x14ac:dyDescent="0.3">
      <c r="A42" s="1645"/>
      <c r="B42" s="131" t="s">
        <v>159</v>
      </c>
      <c r="C42" s="1646" t="s">
        <v>61</v>
      </c>
      <c r="D42" s="1647"/>
      <c r="E42" s="1648"/>
      <c r="F42" s="120">
        <v>1</v>
      </c>
      <c r="G42" s="529">
        <f t="shared" si="2"/>
        <v>2044</v>
      </c>
      <c r="H42" s="504">
        <v>2044</v>
      </c>
      <c r="I42" s="313"/>
      <c r="J42" s="5"/>
      <c r="K42" s="5"/>
      <c r="L42" s="5"/>
      <c r="M42" s="5"/>
      <c r="N42" s="5"/>
      <c r="O42" s="5"/>
      <c r="P42" s="5"/>
    </row>
    <row r="43" spans="1:17" ht="50.1" customHeight="1" x14ac:dyDescent="0.3">
      <c r="A43" s="120"/>
      <c r="B43" s="131" t="s">
        <v>556</v>
      </c>
      <c r="C43" s="659"/>
      <c r="D43" s="657"/>
      <c r="E43" s="658"/>
      <c r="F43" s="120">
        <v>1</v>
      </c>
      <c r="G43" s="529">
        <f>ROUND(H43*BelarusV*(1-$E$52),2)</f>
        <v>27300</v>
      </c>
      <c r="H43" s="504">
        <v>27300</v>
      </c>
      <c r="I43" s="313"/>
      <c r="J43" s="5"/>
      <c r="K43" s="5"/>
      <c r="L43" s="5"/>
      <c r="M43" s="5"/>
      <c r="N43" s="5"/>
      <c r="O43" s="5"/>
      <c r="P43" s="5"/>
    </row>
    <row r="44" spans="1:17" ht="50.1" customHeight="1" x14ac:dyDescent="0.3">
      <c r="A44" s="6"/>
      <c r="B44" s="131" t="s">
        <v>11</v>
      </c>
      <c r="C44" s="1669" t="s">
        <v>540</v>
      </c>
      <c r="D44" s="1670"/>
      <c r="E44" s="9" t="s">
        <v>538</v>
      </c>
      <c r="F44" s="47">
        <v>1</v>
      </c>
      <c r="G44" s="61">
        <f>ROUND(H44*BelarusV*(1-$E$52),2)</f>
        <v>705</v>
      </c>
      <c r="H44" s="504">
        <v>705</v>
      </c>
      <c r="I44" s="313"/>
      <c r="J44" s="5"/>
      <c r="K44" s="5"/>
      <c r="L44" s="5"/>
      <c r="M44" s="5"/>
      <c r="N44" s="5"/>
      <c r="O44" s="5"/>
      <c r="P44" s="5"/>
      <c r="Q44" s="5"/>
    </row>
    <row r="45" spans="1:17" ht="24.95" customHeight="1" x14ac:dyDescent="0.35">
      <c r="A45" s="1634" t="s">
        <v>359</v>
      </c>
      <c r="B45" s="1634"/>
      <c r="C45" s="1634" t="s">
        <v>1349</v>
      </c>
      <c r="D45" s="1634"/>
      <c r="E45" s="1634"/>
      <c r="F45" s="1634"/>
      <c r="G45" s="1653" t="s">
        <v>1350</v>
      </c>
      <c r="H45" s="81"/>
      <c r="I45" s="313"/>
      <c r="J45" s="5"/>
      <c r="K45" s="5"/>
      <c r="L45" s="5"/>
      <c r="M45" s="5"/>
      <c r="N45" s="5"/>
      <c r="O45" s="5"/>
      <c r="P45" s="5"/>
      <c r="Q45" s="5"/>
    </row>
    <row r="46" spans="1:17" ht="24.95" customHeight="1" x14ac:dyDescent="0.35">
      <c r="A46" s="1583" t="s">
        <v>843</v>
      </c>
      <c r="B46" s="1583"/>
      <c r="C46" s="1583"/>
      <c r="D46" s="1583"/>
      <c r="E46" s="1583"/>
      <c r="F46" s="1583"/>
      <c r="G46" s="1581"/>
      <c r="H46" s="81"/>
      <c r="I46" s="313"/>
      <c r="J46" s="5"/>
      <c r="K46" s="5"/>
      <c r="L46" s="5"/>
      <c r="M46" s="5"/>
      <c r="N46" s="5"/>
      <c r="O46" s="5"/>
      <c r="P46" s="5"/>
      <c r="Q46" s="5"/>
    </row>
    <row r="47" spans="1:17" ht="25.5" customHeight="1" x14ac:dyDescent="0.3">
      <c r="A47" s="1583" t="s">
        <v>844</v>
      </c>
      <c r="B47" s="1583"/>
      <c r="C47" s="1583"/>
      <c r="D47" s="1583"/>
      <c r="E47" s="1583"/>
      <c r="F47" s="1583"/>
      <c r="G47" s="1581"/>
      <c r="H47" s="82"/>
      <c r="I47" s="313"/>
      <c r="J47" s="5"/>
      <c r="K47" s="5"/>
      <c r="L47" s="5"/>
      <c r="M47" s="5"/>
      <c r="N47" s="5"/>
      <c r="O47" s="5"/>
      <c r="P47" s="5"/>
      <c r="Q47" s="5"/>
    </row>
    <row r="48" spans="1:17" ht="25.5" customHeight="1" x14ac:dyDescent="0.3">
      <c r="A48" s="1639" t="s">
        <v>220</v>
      </c>
      <c r="B48" s="1574" t="s">
        <v>221</v>
      </c>
      <c r="C48" s="1679" t="s">
        <v>374</v>
      </c>
      <c r="D48" s="1679"/>
      <c r="E48" s="1679"/>
      <c r="F48" s="1679"/>
      <c r="G48" s="1679"/>
      <c r="H48" s="82"/>
      <c r="I48" s="313"/>
      <c r="J48" s="5"/>
      <c r="K48" s="5"/>
      <c r="L48" s="5"/>
      <c r="M48" s="5"/>
      <c r="N48" s="5"/>
      <c r="O48" s="5"/>
      <c r="P48" s="5"/>
      <c r="Q48" s="5"/>
    </row>
    <row r="49" spans="1:17" ht="25.5" customHeight="1" x14ac:dyDescent="0.3">
      <c r="A49" s="1639"/>
      <c r="B49" s="1574"/>
      <c r="C49" s="1679"/>
      <c r="D49" s="1679"/>
      <c r="E49" s="1679"/>
      <c r="F49" s="1679"/>
      <c r="G49" s="1679"/>
      <c r="H49" s="82"/>
      <c r="I49" s="313"/>
      <c r="J49" s="5"/>
      <c r="K49" s="5"/>
      <c r="Q49" s="5"/>
    </row>
    <row r="50" spans="1:17" ht="25.5" customHeight="1" x14ac:dyDescent="0.3">
      <c r="A50" s="1296"/>
      <c r="B50" s="1297"/>
      <c r="C50" s="122"/>
      <c r="D50" s="122"/>
      <c r="E50" s="122"/>
      <c r="F50" s="122"/>
      <c r="G50" s="122"/>
      <c r="H50" s="83"/>
      <c r="I50" s="56"/>
      <c r="J50" s="5"/>
      <c r="K50" s="5"/>
      <c r="L50" s="5"/>
      <c r="M50" s="5"/>
      <c r="P50" s="5"/>
      <c r="Q50" s="5"/>
    </row>
    <row r="51" spans="1:17" ht="69.75" customHeight="1" x14ac:dyDescent="0.35">
      <c r="A51" s="1680" t="s">
        <v>26</v>
      </c>
      <c r="B51" s="368" t="s">
        <v>324</v>
      </c>
      <c r="C51" s="368" t="s">
        <v>322</v>
      </c>
      <c r="D51" s="368" t="s">
        <v>323</v>
      </c>
      <c r="E51" s="368" t="s">
        <v>330</v>
      </c>
      <c r="F51" s="5"/>
      <c r="G51" s="5"/>
      <c r="H51" s="81"/>
      <c r="I51" s="5"/>
      <c r="J51" s="5"/>
      <c r="K51" s="5"/>
      <c r="L51" s="5"/>
      <c r="M51" s="5"/>
      <c r="N51" s="5"/>
      <c r="O51" s="5"/>
      <c r="P51" s="5"/>
      <c r="Q51" s="5"/>
    </row>
    <row r="52" spans="1:17" ht="33" x14ac:dyDescent="0.35">
      <c r="A52" s="1681"/>
      <c r="B52" s="43">
        <v>0</v>
      </c>
      <c r="C52" s="43">
        <v>0</v>
      </c>
      <c r="D52" s="43">
        <v>0</v>
      </c>
      <c r="E52" s="43">
        <v>0</v>
      </c>
      <c r="F52" s="5"/>
      <c r="G52" s="5"/>
      <c r="H52" s="81"/>
      <c r="I52" s="5"/>
      <c r="J52" s="12"/>
      <c r="K52" s="12"/>
      <c r="L52" s="12"/>
      <c r="M52" s="12"/>
      <c r="N52" s="12"/>
      <c r="O52" s="12"/>
      <c r="P52" s="12"/>
      <c r="Q52" s="13"/>
    </row>
    <row r="53" spans="1:17" x14ac:dyDescent="0.35">
      <c r="A53" s="14"/>
      <c r="B53" s="5"/>
      <c r="C53" s="5"/>
      <c r="D53" s="5"/>
      <c r="E53" s="5"/>
      <c r="F53" s="5"/>
      <c r="G53" s="5"/>
      <c r="H53" s="81"/>
      <c r="I53" s="5"/>
      <c r="J53" s="12"/>
      <c r="K53" s="12"/>
      <c r="L53" s="12"/>
      <c r="M53" s="12"/>
      <c r="N53" s="12"/>
      <c r="O53" s="12"/>
      <c r="P53" s="12"/>
      <c r="Q53" s="13"/>
    </row>
    <row r="54" spans="1:17" ht="14.25" customHeight="1" x14ac:dyDescent="0.3">
      <c r="A54" s="12"/>
      <c r="B54" s="12"/>
      <c r="C54" s="12"/>
      <c r="D54" s="12"/>
      <c r="E54" s="12"/>
      <c r="F54" s="12"/>
      <c r="G54" s="12"/>
      <c r="H54" s="68"/>
      <c r="I54" s="12"/>
      <c r="J54" s="12"/>
      <c r="K54" s="12"/>
      <c r="L54" s="12"/>
      <c r="M54" s="12"/>
      <c r="N54" s="12"/>
      <c r="O54" s="12"/>
      <c r="P54" s="12"/>
      <c r="Q54" s="5"/>
    </row>
    <row r="55" spans="1:17" x14ac:dyDescent="0.3">
      <c r="A55" s="12"/>
      <c r="B55" s="12"/>
      <c r="C55" s="12"/>
      <c r="D55" s="12"/>
      <c r="E55" s="12"/>
      <c r="F55" s="12"/>
      <c r="G55" s="12"/>
      <c r="H55" s="68"/>
      <c r="I55" s="12"/>
      <c r="J55" s="5"/>
      <c r="K55" s="5"/>
      <c r="L55" s="5"/>
      <c r="M55" s="5"/>
      <c r="N55" s="5"/>
      <c r="O55" s="5"/>
      <c r="P55" s="5"/>
      <c r="Q55" s="5"/>
    </row>
    <row r="56" spans="1:17" x14ac:dyDescent="0.2">
      <c r="A56" s="12"/>
      <c r="B56" s="12"/>
      <c r="C56" s="12"/>
      <c r="D56" s="12"/>
      <c r="E56" s="12"/>
      <c r="F56" s="12"/>
      <c r="G56" s="12"/>
      <c r="H56" s="68"/>
      <c r="I56" s="12"/>
    </row>
    <row r="57" spans="1:17" x14ac:dyDescent="0.35">
      <c r="A57" s="5"/>
      <c r="B57" s="5"/>
      <c r="C57" s="5"/>
      <c r="D57" s="5"/>
      <c r="E57" s="5"/>
      <c r="F57" s="5"/>
      <c r="G57" s="5"/>
      <c r="H57" s="81"/>
      <c r="I57" s="5"/>
    </row>
    <row r="58" spans="1:17" x14ac:dyDescent="0.35">
      <c r="A58" s="1638"/>
      <c r="B58" s="1638"/>
      <c r="C58" s="1638"/>
    </row>
  </sheetData>
  <mergeCells count="43">
    <mergeCell ref="C49:G49"/>
    <mergeCell ref="F32:F36"/>
    <mergeCell ref="A51:A52"/>
    <mergeCell ref="C48:G48"/>
    <mergeCell ref="B2:D2"/>
    <mergeCell ref="B3:C3"/>
    <mergeCell ref="B30:C30"/>
    <mergeCell ref="B22:C22"/>
    <mergeCell ref="C32:E32"/>
    <mergeCell ref="B29:C29"/>
    <mergeCell ref="B27:C27"/>
    <mergeCell ref="D16:D17"/>
    <mergeCell ref="E16:E17"/>
    <mergeCell ref="B26:C26"/>
    <mergeCell ref="A9:A10"/>
    <mergeCell ref="B21:C21"/>
    <mergeCell ref="D9:D10"/>
    <mergeCell ref="C44:D44"/>
    <mergeCell ref="C38:E40"/>
    <mergeCell ref="C33:E33"/>
    <mergeCell ref="C16:C17"/>
    <mergeCell ref="A16:A17"/>
    <mergeCell ref="A18:A20"/>
    <mergeCell ref="A32:A36"/>
    <mergeCell ref="C34:E36"/>
    <mergeCell ref="B23:B25"/>
    <mergeCell ref="A23:A25"/>
    <mergeCell ref="A58:C58"/>
    <mergeCell ref="A48:A49"/>
    <mergeCell ref="B48:B49"/>
    <mergeCell ref="G16:G17"/>
    <mergeCell ref="F16:F17"/>
    <mergeCell ref="A41:A42"/>
    <mergeCell ref="C41:E41"/>
    <mergeCell ref="A47:B47"/>
    <mergeCell ref="A46:B46"/>
    <mergeCell ref="A37:A40"/>
    <mergeCell ref="C37:E37"/>
    <mergeCell ref="F37:F40"/>
    <mergeCell ref="A45:B45"/>
    <mergeCell ref="C42:E42"/>
    <mergeCell ref="C45:F47"/>
    <mergeCell ref="G45:G47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35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6572-D9E2-4465-9192-239E70BBEE16}">
  <sheetPr>
    <tabColor rgb="FFC00000"/>
    <pageSetUpPr fitToPage="1"/>
  </sheetPr>
  <dimension ref="A1:Q17"/>
  <sheetViews>
    <sheetView showGridLines="0" zoomScale="55" zoomScaleNormal="55" zoomScaleSheetLayoutView="55" zoomScalePageLayoutView="40" workbookViewId="0">
      <selection activeCell="AH30" sqref="AH30"/>
    </sheetView>
  </sheetViews>
  <sheetFormatPr defaultRowHeight="23.25" x14ac:dyDescent="0.35"/>
  <cols>
    <col min="1" max="1" width="38.140625" style="1" customWidth="1"/>
    <col min="2" max="2" width="90.85546875" style="1" customWidth="1"/>
    <col min="3" max="3" width="28.7109375" style="1" customWidth="1"/>
    <col min="4" max="4" width="30.7109375" style="1" customWidth="1"/>
    <col min="5" max="5" width="23.5703125" style="1" customWidth="1"/>
    <col min="6" max="6" width="35.7109375" style="1" customWidth="1"/>
    <col min="7" max="7" width="30.7109375" style="1" customWidth="1"/>
    <col min="8" max="8" width="11.5703125" style="79" hidden="1" customWidth="1"/>
    <col min="9" max="9" width="16.140625" style="1" customWidth="1"/>
    <col min="10" max="12" width="15.42578125" style="1" bestFit="1" customWidth="1"/>
    <col min="13" max="16" width="9.140625" style="1"/>
    <col min="17" max="17" width="13.5703125" style="1" customWidth="1"/>
    <col min="18" max="16384" width="9.140625" style="1"/>
  </cols>
  <sheetData>
    <row r="1" spans="1:17" ht="75.75" customHeight="1" x14ac:dyDescent="0.4">
      <c r="C1" s="89"/>
      <c r="D1" s="89"/>
      <c r="E1" s="89"/>
      <c r="F1" s="89"/>
      <c r="G1" s="89"/>
      <c r="H1" s="80"/>
      <c r="I1" s="19"/>
      <c r="J1" s="19"/>
      <c r="K1" s="19"/>
      <c r="L1" s="19"/>
      <c r="M1" s="19"/>
      <c r="N1" s="19"/>
      <c r="O1" s="19"/>
      <c r="P1" s="19"/>
      <c r="Q1" s="19"/>
    </row>
    <row r="2" spans="1:17" ht="33" customHeight="1" x14ac:dyDescent="0.3">
      <c r="B2" s="1686" t="s">
        <v>160</v>
      </c>
      <c r="C2" s="1686"/>
      <c r="D2" s="1686"/>
      <c r="E2" s="422"/>
      <c r="F2" s="1032" t="s">
        <v>132</v>
      </c>
      <c r="G2" s="348">
        <f>'Панельные ограждения GL (стр.1)'!N2</f>
        <v>46197</v>
      </c>
      <c r="H2" s="348"/>
      <c r="I2" s="20"/>
      <c r="J2" s="5"/>
      <c r="K2" s="5"/>
      <c r="L2" s="5"/>
      <c r="M2" s="5"/>
      <c r="N2" s="5"/>
      <c r="O2" s="5"/>
      <c r="P2" s="5"/>
      <c r="Q2" s="5"/>
    </row>
    <row r="3" spans="1:17" ht="25.5" customHeight="1" x14ac:dyDescent="0.3">
      <c r="A3" s="1638" t="s">
        <v>236</v>
      </c>
      <c r="B3" s="1638"/>
      <c r="C3" s="1638"/>
      <c r="D3" s="1638"/>
      <c r="E3" s="1638"/>
      <c r="F3" s="1638"/>
      <c r="G3" s="1638"/>
      <c r="H3" s="82"/>
      <c r="I3" s="313"/>
      <c r="J3" s="5"/>
      <c r="K3" s="5"/>
      <c r="L3" s="5"/>
      <c r="M3" s="5"/>
      <c r="N3" s="5"/>
      <c r="O3" s="5"/>
      <c r="P3" s="5"/>
      <c r="Q3" s="5"/>
    </row>
    <row r="4" spans="1:17" ht="25.5" customHeight="1" x14ac:dyDescent="0.3">
      <c r="A4" s="1638"/>
      <c r="B4" s="1638"/>
      <c r="C4" s="1638"/>
      <c r="D4" s="1638"/>
      <c r="E4" s="1638"/>
      <c r="F4" s="1638"/>
      <c r="G4" s="1638"/>
      <c r="H4" s="82"/>
      <c r="I4" s="313"/>
      <c r="J4" s="5"/>
      <c r="K4" s="5"/>
      <c r="Q4" s="5"/>
    </row>
    <row r="5" spans="1:17" ht="39.950000000000003" customHeight="1" x14ac:dyDescent="0.3">
      <c r="A5" s="1638" t="s">
        <v>233</v>
      </c>
      <c r="B5" s="1638"/>
      <c r="C5" s="251"/>
      <c r="D5" s="1687" t="s">
        <v>225</v>
      </c>
      <c r="E5" s="1687"/>
      <c r="F5" s="1687"/>
      <c r="G5" s="1687"/>
      <c r="H5" s="82"/>
      <c r="I5" s="313"/>
      <c r="J5" s="5"/>
      <c r="K5" s="5"/>
      <c r="Q5" s="5"/>
    </row>
    <row r="6" spans="1:17" ht="30.95" customHeight="1" x14ac:dyDescent="0.3">
      <c r="A6" s="1030"/>
      <c r="B6" s="1688" t="s">
        <v>232</v>
      </c>
      <c r="C6" s="256" t="s">
        <v>235</v>
      </c>
      <c r="D6" s="255" t="s">
        <v>226</v>
      </c>
      <c r="E6" s="255" t="s">
        <v>227</v>
      </c>
      <c r="F6" s="255" t="s">
        <v>228</v>
      </c>
      <c r="G6" s="255" t="s">
        <v>229</v>
      </c>
      <c r="H6" s="82"/>
      <c r="I6" s="313"/>
      <c r="J6" s="5"/>
      <c r="K6" s="5"/>
      <c r="Q6" s="5"/>
    </row>
    <row r="7" spans="1:17" ht="44.1" customHeight="1" x14ac:dyDescent="0.3">
      <c r="A7" s="1030"/>
      <c r="B7" s="1688"/>
      <c r="C7" s="256" t="s">
        <v>222</v>
      </c>
      <c r="D7" s="1689" t="s">
        <v>237</v>
      </c>
      <c r="E7" s="1647"/>
      <c r="F7" s="1647"/>
      <c r="G7" s="1648"/>
      <c r="H7" s="83"/>
      <c r="I7" s="313"/>
      <c r="J7" s="5"/>
      <c r="K7" s="5"/>
      <c r="Q7" s="5"/>
    </row>
    <row r="8" spans="1:17" ht="44.1" customHeight="1" x14ac:dyDescent="0.3">
      <c r="A8" s="1030"/>
      <c r="B8" s="1688"/>
      <c r="C8" s="1690" t="s">
        <v>223</v>
      </c>
      <c r="D8" s="1692" t="s">
        <v>238</v>
      </c>
      <c r="E8" s="1692" t="s">
        <v>230</v>
      </c>
      <c r="F8" s="1692" t="s">
        <v>239</v>
      </c>
      <c r="G8" s="1692" t="s">
        <v>241</v>
      </c>
      <c r="H8" s="83"/>
      <c r="I8" s="313"/>
      <c r="J8" s="5"/>
      <c r="K8" s="5"/>
      <c r="Q8" s="5"/>
    </row>
    <row r="9" spans="1:17" ht="44.1" customHeight="1" x14ac:dyDescent="0.3">
      <c r="A9" s="1030"/>
      <c r="B9" s="1688"/>
      <c r="C9" s="1691"/>
      <c r="D9" s="1692"/>
      <c r="E9" s="1692"/>
      <c r="F9" s="1692"/>
      <c r="G9" s="1692"/>
      <c r="H9" s="83"/>
      <c r="I9" s="313"/>
      <c r="J9" s="5"/>
      <c r="K9" s="5"/>
      <c r="Q9" s="5"/>
    </row>
    <row r="10" spans="1:17" s="253" customFormat="1" ht="80.099999999999994" customHeight="1" x14ac:dyDescent="0.3">
      <c r="A10" s="1583" t="s">
        <v>234</v>
      </c>
      <c r="B10" s="1583"/>
      <c r="C10" s="257" t="s">
        <v>224</v>
      </c>
      <c r="D10" s="254" t="s">
        <v>231</v>
      </c>
      <c r="E10" s="254" t="s">
        <v>230</v>
      </c>
      <c r="F10" s="254" t="s">
        <v>240</v>
      </c>
      <c r="G10" s="254" t="s">
        <v>242</v>
      </c>
      <c r="H10" s="83"/>
      <c r="I10" s="313"/>
      <c r="J10" s="252"/>
      <c r="K10" s="252"/>
      <c r="Q10" s="252"/>
    </row>
    <row r="11" spans="1:17" ht="50.1" customHeight="1" x14ac:dyDescent="0.35">
      <c r="A11" s="1031"/>
      <c r="B11" s="1031"/>
      <c r="C11" s="1031"/>
      <c r="D11" s="1031"/>
      <c r="E11" s="1031"/>
      <c r="F11" s="1031"/>
      <c r="G11" s="1031"/>
      <c r="H11" s="320"/>
      <c r="I11" s="313"/>
      <c r="J11" s="5"/>
      <c r="K11" s="5"/>
      <c r="L11" s="5"/>
      <c r="M11" s="5"/>
      <c r="N11" s="5"/>
      <c r="O11" s="5"/>
      <c r="P11" s="5"/>
      <c r="Q11" s="5"/>
    </row>
    <row r="12" spans="1:17" ht="42" customHeight="1" x14ac:dyDescent="0.3">
      <c r="A12" s="258"/>
      <c r="B12" s="259"/>
      <c r="H12" s="83"/>
      <c r="I12" s="56"/>
      <c r="J12" s="5"/>
      <c r="K12" s="5"/>
      <c r="L12" s="5"/>
      <c r="M12" s="5"/>
      <c r="N12" s="5"/>
      <c r="O12" s="5"/>
      <c r="P12" s="5"/>
      <c r="Q12" s="5"/>
    </row>
    <row r="13" spans="1:17" x14ac:dyDescent="0.35">
      <c r="A13" s="14"/>
      <c r="B13" s="5"/>
      <c r="C13" s="5"/>
      <c r="D13" s="5"/>
      <c r="E13" s="5"/>
      <c r="F13" s="5"/>
      <c r="G13" s="5"/>
      <c r="H13" s="81"/>
      <c r="I13" s="5"/>
      <c r="J13" s="12"/>
      <c r="K13" s="12"/>
      <c r="L13" s="12"/>
      <c r="M13" s="12"/>
      <c r="N13" s="12"/>
      <c r="O13" s="12"/>
      <c r="P13" s="12"/>
      <c r="Q13" s="13"/>
    </row>
    <row r="14" spans="1:17" ht="14.25" customHeight="1" x14ac:dyDescent="0.3">
      <c r="A14" s="12"/>
      <c r="B14" s="12"/>
      <c r="C14" s="12"/>
      <c r="D14" s="12"/>
      <c r="E14" s="12"/>
      <c r="F14" s="12"/>
      <c r="G14" s="12"/>
      <c r="H14" s="68"/>
      <c r="I14" s="12"/>
      <c r="J14" s="12"/>
      <c r="K14" s="12"/>
      <c r="L14" s="12"/>
      <c r="M14" s="12"/>
      <c r="N14" s="12"/>
      <c r="O14" s="12"/>
      <c r="P14" s="12"/>
      <c r="Q14" s="5"/>
    </row>
    <row r="15" spans="1:17" x14ac:dyDescent="0.3">
      <c r="A15" s="12"/>
      <c r="B15" s="12"/>
      <c r="C15" s="12"/>
      <c r="D15" s="12"/>
      <c r="E15" s="12"/>
      <c r="F15" s="12"/>
      <c r="G15" s="12"/>
      <c r="H15" s="68"/>
      <c r="I15" s="12"/>
      <c r="J15" s="5"/>
      <c r="K15" s="5"/>
      <c r="L15" s="5"/>
      <c r="M15" s="5"/>
      <c r="N15" s="5"/>
      <c r="O15" s="5"/>
      <c r="P15" s="5"/>
      <c r="Q15" s="5"/>
    </row>
    <row r="16" spans="1:17" x14ac:dyDescent="0.2">
      <c r="A16" s="12"/>
      <c r="B16" s="12"/>
      <c r="C16" s="12"/>
      <c r="D16" s="12"/>
      <c r="E16" s="12"/>
      <c r="F16" s="12"/>
      <c r="G16" s="12"/>
      <c r="H16" s="68"/>
      <c r="I16" s="12"/>
    </row>
    <row r="17" spans="1:9" x14ac:dyDescent="0.35">
      <c r="A17" s="5"/>
      <c r="B17" s="5"/>
      <c r="C17" s="5"/>
      <c r="D17" s="5"/>
      <c r="E17" s="5"/>
      <c r="F17" s="5"/>
      <c r="G17" s="5"/>
      <c r="H17" s="81"/>
      <c r="I17" s="5"/>
    </row>
  </sheetData>
  <mergeCells count="12">
    <mergeCell ref="A10:B10"/>
    <mergeCell ref="A5:B5"/>
    <mergeCell ref="A3:G4"/>
    <mergeCell ref="B2:D2"/>
    <mergeCell ref="D5:G5"/>
    <mergeCell ref="B6:B9"/>
    <mergeCell ref="D7:G7"/>
    <mergeCell ref="C8:C9"/>
    <mergeCell ref="D8:D9"/>
    <mergeCell ref="E8:E9"/>
    <mergeCell ref="F8:F9"/>
    <mergeCell ref="G8:G9"/>
  </mergeCells>
  <printOptions horizontalCentered="1"/>
  <pageMargins left="3.937007874015748E-2" right="3.937007874015748E-2" top="3.937007874015748E-2" bottom="3.937007874015748E-2" header="0.31496062992125984" footer="0.31496062992125984"/>
  <pageSetup paperSize="11" scale="36" fitToHeight="0" orientation="landscape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tabColor theme="1" tint="0.499984740745262"/>
    <pageSetUpPr fitToPage="1"/>
  </sheetPr>
  <dimension ref="A1:BC79"/>
  <sheetViews>
    <sheetView showGridLines="0" zoomScale="55" zoomScaleNormal="55" zoomScaleSheetLayoutView="40" zoomScalePageLayoutView="30" workbookViewId="0">
      <selection activeCell="J2" sqref="J2"/>
    </sheetView>
  </sheetViews>
  <sheetFormatPr defaultColWidth="3.28515625" defaultRowHeight="18" x14ac:dyDescent="0.25"/>
  <cols>
    <col min="1" max="1" width="35.7109375" style="1" customWidth="1"/>
    <col min="2" max="2" width="40.7109375" style="1" customWidth="1"/>
    <col min="3" max="3" width="35.7109375" style="1" customWidth="1"/>
    <col min="4" max="4" width="25.7109375" style="1" customWidth="1"/>
    <col min="5" max="6" width="22.7109375" style="1" customWidth="1"/>
    <col min="7" max="7" width="19.7109375" style="1" customWidth="1"/>
    <col min="8" max="8" width="25.7109375" style="1" customWidth="1"/>
    <col min="9" max="10" width="20.7109375" style="1" customWidth="1"/>
    <col min="11" max="11" width="13.7109375" style="87" hidden="1" customWidth="1"/>
    <col min="12" max="12" width="17.85546875" style="347" hidden="1" customWidth="1"/>
    <col min="13" max="13" width="13.7109375" style="334" hidden="1" customWidth="1"/>
    <col min="14" max="14" width="14" style="1" hidden="1" customWidth="1"/>
    <col min="15" max="15" width="18.140625" style="1" customWidth="1"/>
    <col min="16" max="16" width="9.85546875" style="1" customWidth="1"/>
    <col min="17" max="17" width="13.7109375" style="1" customWidth="1"/>
    <col min="18" max="16384" width="3.28515625" style="1"/>
  </cols>
  <sheetData>
    <row r="1" spans="1:17" ht="75.75" customHeight="1" x14ac:dyDescent="0.3">
      <c r="C1" s="88"/>
      <c r="D1" s="88"/>
      <c r="E1" s="88"/>
      <c r="F1" s="88"/>
      <c r="G1" s="88"/>
      <c r="J1" s="348"/>
    </row>
    <row r="2" spans="1:17" customFormat="1" ht="33" customHeight="1" x14ac:dyDescent="0.3">
      <c r="A2" s="388"/>
      <c r="B2" s="1790" t="s">
        <v>399</v>
      </c>
      <c r="C2" s="1790"/>
      <c r="D2" s="1790"/>
      <c r="E2" s="1790"/>
      <c r="F2" s="1790"/>
      <c r="G2" s="1790"/>
      <c r="H2" s="388"/>
      <c r="I2" s="92" t="s">
        <v>132</v>
      </c>
      <c r="J2" s="348">
        <f>'Панельные ограждения GL (стр.1)'!N2</f>
        <v>46197</v>
      </c>
      <c r="K2" s="87"/>
      <c r="L2" s="279"/>
      <c r="M2" s="334"/>
    </row>
    <row r="3" spans="1:17" customFormat="1" ht="75" customHeight="1" x14ac:dyDescent="0.25">
      <c r="A3" s="1706" t="s">
        <v>76</v>
      </c>
      <c r="B3" s="1738" t="s">
        <v>71</v>
      </c>
      <c r="C3" s="1739"/>
      <c r="D3" s="1705" t="s">
        <v>166</v>
      </c>
      <c r="E3" s="1725" t="s">
        <v>179</v>
      </c>
      <c r="F3" s="1706" t="s">
        <v>78</v>
      </c>
      <c r="G3" s="1706" t="s">
        <v>317</v>
      </c>
      <c r="H3" s="1706" t="s">
        <v>80</v>
      </c>
      <c r="I3" s="1734" t="s">
        <v>352</v>
      </c>
      <c r="J3" s="1735"/>
      <c r="K3" s="1732" t="s">
        <v>361</v>
      </c>
      <c r="L3" s="1733"/>
      <c r="M3" s="334"/>
    </row>
    <row r="4" spans="1:17" customFormat="1" ht="30" customHeight="1" x14ac:dyDescent="0.2">
      <c r="A4" s="1707"/>
      <c r="B4" s="1740"/>
      <c r="C4" s="1741"/>
      <c r="D4" s="1705"/>
      <c r="E4" s="1726"/>
      <c r="F4" s="1707"/>
      <c r="G4" s="1707"/>
      <c r="H4" s="1707"/>
      <c r="I4" s="385" t="s">
        <v>177</v>
      </c>
      <c r="J4" s="386" t="s">
        <v>178</v>
      </c>
      <c r="K4" s="627">
        <v>244</v>
      </c>
      <c r="L4" s="111">
        <v>268</v>
      </c>
      <c r="M4" s="111" t="s">
        <v>370</v>
      </c>
    </row>
    <row r="5" spans="1:17" customFormat="1" ht="39.950000000000003" customHeight="1" x14ac:dyDescent="0.2">
      <c r="A5" s="458"/>
      <c r="B5" s="1742" t="s">
        <v>470</v>
      </c>
      <c r="C5" s="1743"/>
      <c r="D5" s="99" t="s">
        <v>191</v>
      </c>
      <c r="E5" s="451" t="s">
        <v>270</v>
      </c>
      <c r="F5" s="99">
        <v>3</v>
      </c>
      <c r="G5" s="595">
        <v>5.55</v>
      </c>
      <c r="H5" s="99">
        <v>100</v>
      </c>
      <c r="I5" s="168">
        <f>IF(K5&gt;0,ROUND(K5*M5*G5*BelarusV_LFzn*(1-$B$70),0),"-")</f>
        <v>1408</v>
      </c>
      <c r="J5" s="596">
        <f>IF(L5&gt;0,ROUND(L5*M5*G5*BelarusV_LFpe*(1-$B$70),0),"-")</f>
        <v>1547</v>
      </c>
      <c r="K5" s="626">
        <f>$K$4</f>
        <v>244</v>
      </c>
      <c r="L5" s="626">
        <f>$L$4</f>
        <v>268</v>
      </c>
      <c r="M5" s="361">
        <v>1.04</v>
      </c>
      <c r="N5" s="2"/>
      <c r="O5" s="2"/>
    </row>
    <row r="6" spans="1:17" customFormat="1" ht="39.950000000000003" customHeight="1" x14ac:dyDescent="0.2">
      <c r="A6" s="458"/>
      <c r="B6" s="1744"/>
      <c r="C6" s="1745"/>
      <c r="D6" s="97" t="s">
        <v>192</v>
      </c>
      <c r="E6" s="328" t="s">
        <v>270</v>
      </c>
      <c r="F6" s="97">
        <v>3</v>
      </c>
      <c r="G6" s="97">
        <v>6.16</v>
      </c>
      <c r="H6" s="97">
        <v>100</v>
      </c>
      <c r="I6" s="101">
        <f>IF(K6&gt;0,ROUND(K6*M6*G6*BelarusV_LFzn*(1-$B$70),0),"-")</f>
        <v>1563</v>
      </c>
      <c r="J6" s="387">
        <f>IF(L6&gt;0,ROUND(L6*M6*G6*BelarusV_LFpe*(1-$B$70),0),"-")</f>
        <v>1717</v>
      </c>
      <c r="K6" s="626">
        <f t="shared" ref="K6:K7" si="0">$K$4</f>
        <v>244</v>
      </c>
      <c r="L6" s="626">
        <f>$L$4</f>
        <v>268</v>
      </c>
      <c r="M6" s="361">
        <v>1.04</v>
      </c>
      <c r="N6" s="2"/>
      <c r="O6" s="2"/>
    </row>
    <row r="7" spans="1:17" customFormat="1" ht="39.950000000000003" customHeight="1" x14ac:dyDescent="0.2">
      <c r="A7" s="458"/>
      <c r="B7" s="1746"/>
      <c r="C7" s="1747"/>
      <c r="D7" s="98" t="s">
        <v>194</v>
      </c>
      <c r="E7" s="597" t="s">
        <v>270</v>
      </c>
      <c r="F7" s="98">
        <v>4</v>
      </c>
      <c r="G7" s="98">
        <v>7.24</v>
      </c>
      <c r="H7" s="98">
        <v>100</v>
      </c>
      <c r="I7" s="383">
        <f t="shared" ref="I7:I11" si="1">IF(K7&gt;0,ROUND(K7*M7*G7*BelarusV_LFzn*(1-$B$70),0),"-")</f>
        <v>1767</v>
      </c>
      <c r="J7" s="598">
        <f t="shared" ref="J7:J11" si="2">IF(L7&gt;0,ROUND(L7*M7*G7*BelarusV_LFpe*(1-$B$70),0),"-")</f>
        <v>1940</v>
      </c>
      <c r="K7" s="626">
        <f t="shared" si="0"/>
        <v>244</v>
      </c>
      <c r="L7" s="626">
        <f>$L$4</f>
        <v>268</v>
      </c>
      <c r="M7" s="361">
        <v>1</v>
      </c>
      <c r="N7" s="2"/>
      <c r="O7" s="2"/>
    </row>
    <row r="8" spans="1:17" customFormat="1" ht="39.950000000000003" customHeight="1" x14ac:dyDescent="0.2">
      <c r="A8" s="458"/>
      <c r="B8" s="1742" t="s">
        <v>348</v>
      </c>
      <c r="C8" s="1743"/>
      <c r="D8" s="96" t="s">
        <v>190</v>
      </c>
      <c r="E8" s="451"/>
      <c r="F8" s="96">
        <v>2</v>
      </c>
      <c r="G8" s="137">
        <v>4.8899999999999997</v>
      </c>
      <c r="H8" s="96">
        <v>80</v>
      </c>
      <c r="I8" s="167">
        <f>IF(K8&gt;0,ROUND(K8*M8*G8*BelarusV_LFzn*(1-$B$70),0),"-")</f>
        <v>1220</v>
      </c>
      <c r="J8" s="452">
        <f t="shared" si="2"/>
        <v>1352</v>
      </c>
      <c r="K8" s="629">
        <v>231</v>
      </c>
      <c r="L8" s="111">
        <v>256</v>
      </c>
      <c r="M8" s="361">
        <v>1.08</v>
      </c>
      <c r="N8" s="2"/>
      <c r="O8" s="2"/>
    </row>
    <row r="9" spans="1:17" customFormat="1" ht="39.950000000000003" customHeight="1" x14ac:dyDescent="0.2">
      <c r="A9" s="458"/>
      <c r="B9" s="1744"/>
      <c r="C9" s="1745"/>
      <c r="D9" s="99" t="s">
        <v>191</v>
      </c>
      <c r="E9" s="603" t="s">
        <v>1382</v>
      </c>
      <c r="F9" s="99">
        <v>3</v>
      </c>
      <c r="G9" s="595">
        <v>7.2</v>
      </c>
      <c r="H9" s="99">
        <v>80</v>
      </c>
      <c r="I9" s="168">
        <f t="shared" si="1"/>
        <v>1730</v>
      </c>
      <c r="J9" s="596">
        <f t="shared" si="2"/>
        <v>1917</v>
      </c>
      <c r="K9" s="628">
        <f>$K$8</f>
        <v>231</v>
      </c>
      <c r="L9" s="626">
        <f>$L$8</f>
        <v>256</v>
      </c>
      <c r="M9" s="361">
        <v>1.04</v>
      </c>
      <c r="N9" s="2"/>
      <c r="O9" s="2"/>
      <c r="P9" s="360"/>
    </row>
    <row r="10" spans="1:17" customFormat="1" ht="39.950000000000003" customHeight="1" x14ac:dyDescent="0.2">
      <c r="A10" s="458"/>
      <c r="B10" s="1744"/>
      <c r="C10" s="1745"/>
      <c r="D10" s="97" t="s">
        <v>192</v>
      </c>
      <c r="E10" s="328" t="s">
        <v>1382</v>
      </c>
      <c r="F10" s="97">
        <v>3</v>
      </c>
      <c r="G10" s="97">
        <v>7.99</v>
      </c>
      <c r="H10" s="97">
        <v>80</v>
      </c>
      <c r="I10" s="101">
        <f t="shared" si="1"/>
        <v>1920</v>
      </c>
      <c r="J10" s="387">
        <f>IF(L10&gt;0,ROUND(L10*M10*G10*BelarusV_LFpe*(1-$B$70),0),"-")</f>
        <v>2127</v>
      </c>
      <c r="K10" s="628">
        <f>$K$8</f>
        <v>231</v>
      </c>
      <c r="L10" s="626">
        <f>$L$8</f>
        <v>256</v>
      </c>
      <c r="M10" s="361">
        <v>1.04</v>
      </c>
      <c r="N10" s="2"/>
      <c r="O10" s="2"/>
    </row>
    <row r="11" spans="1:17" customFormat="1" ht="39.950000000000003" customHeight="1" x14ac:dyDescent="0.2">
      <c r="A11" s="459"/>
      <c r="B11" s="1746"/>
      <c r="C11" s="1747"/>
      <c r="D11" s="98" t="s">
        <v>194</v>
      </c>
      <c r="E11" s="597" t="s">
        <v>1385</v>
      </c>
      <c r="F11" s="98">
        <v>4</v>
      </c>
      <c r="G11" s="98">
        <v>9.51</v>
      </c>
      <c r="H11" s="98">
        <v>80</v>
      </c>
      <c r="I11" s="383">
        <f t="shared" si="1"/>
        <v>2197</v>
      </c>
      <c r="J11" s="598">
        <f t="shared" si="2"/>
        <v>2435</v>
      </c>
      <c r="K11" s="628">
        <f>$K$8</f>
        <v>231</v>
      </c>
      <c r="L11" s="626">
        <f>$L$8</f>
        <v>256</v>
      </c>
      <c r="M11" s="361">
        <v>1</v>
      </c>
      <c r="N11" s="2"/>
      <c r="O11" s="2"/>
    </row>
    <row r="12" spans="1:17" customFormat="1" ht="10.5" customHeight="1" x14ac:dyDescent="0.3">
      <c r="A12" s="102"/>
      <c r="B12" s="103"/>
      <c r="C12" s="104"/>
      <c r="D12" s="105"/>
      <c r="E12" s="105"/>
      <c r="F12" s="105"/>
      <c r="G12" s="105"/>
      <c r="H12" s="106"/>
      <c r="I12" s="107"/>
      <c r="J12" s="107"/>
      <c r="K12" s="112"/>
      <c r="L12" s="361"/>
      <c r="M12" s="308"/>
      <c r="N12" s="360"/>
    </row>
    <row r="13" spans="1:17" customFormat="1" ht="39.950000000000003" customHeight="1" x14ac:dyDescent="0.4">
      <c r="A13" s="1704" t="s">
        <v>167</v>
      </c>
      <c r="B13" s="1704"/>
      <c r="C13" s="1704"/>
      <c r="D13" s="1704"/>
      <c r="E13" s="1704"/>
      <c r="F13" s="1704"/>
      <c r="G13" s="1704"/>
      <c r="H13" s="1704"/>
      <c r="I13" s="1704"/>
      <c r="J13" s="1704"/>
      <c r="K13" s="113"/>
      <c r="L13" s="361"/>
      <c r="M13" s="308"/>
      <c r="N13" s="360"/>
    </row>
    <row r="14" spans="1:17" customFormat="1" ht="50.1" customHeight="1" x14ac:dyDescent="0.3">
      <c r="A14" s="108" t="s">
        <v>76</v>
      </c>
      <c r="B14" s="1734" t="s">
        <v>71</v>
      </c>
      <c r="C14" s="1735"/>
      <c r="D14" s="108" t="s">
        <v>81</v>
      </c>
      <c r="E14" s="327" t="s">
        <v>179</v>
      </c>
      <c r="F14" s="108" t="s">
        <v>79</v>
      </c>
      <c r="G14" s="108" t="s">
        <v>12</v>
      </c>
      <c r="H14" s="108" t="s">
        <v>80</v>
      </c>
      <c r="I14" s="1736" t="s">
        <v>351</v>
      </c>
      <c r="J14" s="1737"/>
      <c r="K14" s="114"/>
      <c r="L14" s="361"/>
      <c r="M14" s="308"/>
      <c r="N14" s="360"/>
    </row>
    <row r="15" spans="1:17" customFormat="1" ht="24.95" customHeight="1" x14ac:dyDescent="0.3">
      <c r="A15" s="271"/>
      <c r="B15" s="1560" t="s">
        <v>127</v>
      </c>
      <c r="C15" s="1560" t="s">
        <v>674</v>
      </c>
      <c r="D15" s="54">
        <v>1.5</v>
      </c>
      <c r="E15" s="329"/>
      <c r="F15" s="96" t="s">
        <v>18</v>
      </c>
      <c r="G15" s="58">
        <v>2.4900000000000002</v>
      </c>
      <c r="H15" s="1702">
        <v>140</v>
      </c>
      <c r="I15" s="1752">
        <f>ROUND(K15*BelarusV_LFzn*(1-$B$70),2)</f>
        <v>732</v>
      </c>
      <c r="J15" s="1753"/>
      <c r="K15" s="112">
        <f t="shared" ref="K15:K24" si="3">ROUND((L15+N15)*M15*G15,0)</f>
        <v>732</v>
      </c>
      <c r="L15" s="801">
        <v>265</v>
      </c>
      <c r="M15" s="361">
        <v>1.1100000000000001</v>
      </c>
      <c r="N15" s="360"/>
      <c r="O15" s="2"/>
      <c r="Q15" s="2"/>
    </row>
    <row r="16" spans="1:17" customFormat="1" ht="24.95" customHeight="1" x14ac:dyDescent="0.3">
      <c r="A16" s="272"/>
      <c r="B16" s="1562"/>
      <c r="C16" s="1562"/>
      <c r="D16" s="53">
        <v>2.5</v>
      </c>
      <c r="E16" s="330"/>
      <c r="F16" s="98" t="s">
        <v>18</v>
      </c>
      <c r="G16" s="60">
        <v>4.1500000000000004</v>
      </c>
      <c r="H16" s="1703"/>
      <c r="I16" s="1756">
        <f>ROUND(K16*BelarusV_LFzn*(1-$B$70),2)</f>
        <v>1100</v>
      </c>
      <c r="J16" s="1757"/>
      <c r="K16" s="112">
        <f t="shared" si="3"/>
        <v>1100</v>
      </c>
      <c r="L16" s="802">
        <f>L15</f>
        <v>265</v>
      </c>
      <c r="M16" s="361">
        <v>1</v>
      </c>
      <c r="N16" s="360"/>
      <c r="O16" s="2"/>
      <c r="Q16" s="2"/>
    </row>
    <row r="17" spans="1:17" customFormat="1" ht="24.95" customHeight="1" x14ac:dyDescent="0.3">
      <c r="A17" s="272"/>
      <c r="B17" s="1563" t="s">
        <v>300</v>
      </c>
      <c r="C17" s="1560" t="s">
        <v>674</v>
      </c>
      <c r="D17" s="54">
        <v>1.5</v>
      </c>
      <c r="E17" s="329"/>
      <c r="F17" s="96" t="s">
        <v>18</v>
      </c>
      <c r="G17" s="58">
        <v>2.4900000000000002</v>
      </c>
      <c r="H17" s="1702">
        <v>140</v>
      </c>
      <c r="I17" s="1752">
        <f>ROUND(K17*BelarusV_LFpe*(1-$B$70),2)</f>
        <v>860</v>
      </c>
      <c r="J17" s="1753"/>
      <c r="K17" s="112">
        <f t="shared" si="3"/>
        <v>860</v>
      </c>
      <c r="L17" s="801">
        <v>311</v>
      </c>
      <c r="M17" s="361">
        <v>1.1100000000000001</v>
      </c>
      <c r="N17" s="360"/>
      <c r="O17" s="2"/>
      <c r="Q17" s="2"/>
    </row>
    <row r="18" spans="1:17" customFormat="1" ht="24.95" customHeight="1" x14ac:dyDescent="0.3">
      <c r="A18" s="272"/>
      <c r="B18" s="1564"/>
      <c r="C18" s="1561"/>
      <c r="D18" s="62">
        <v>2</v>
      </c>
      <c r="E18" s="331"/>
      <c r="F18" s="93" t="s">
        <v>18</v>
      </c>
      <c r="G18" s="63">
        <v>3.32</v>
      </c>
      <c r="H18" s="1729"/>
      <c r="I18" s="1754">
        <f>ROUND(K18*BelarusV_LFpe*(1-$B$70),2)</f>
        <v>1033</v>
      </c>
      <c r="J18" s="1755"/>
      <c r="K18" s="112">
        <f t="shared" si="3"/>
        <v>1033</v>
      </c>
      <c r="L18" s="802">
        <f>$L$17</f>
        <v>311</v>
      </c>
      <c r="M18" s="361">
        <v>1</v>
      </c>
      <c r="N18" s="360"/>
      <c r="O18" s="2"/>
      <c r="Q18" s="2"/>
    </row>
    <row r="19" spans="1:17" customFormat="1" ht="24.95" customHeight="1" x14ac:dyDescent="0.3">
      <c r="A19" s="272"/>
      <c r="B19" s="1564"/>
      <c r="C19" s="1562"/>
      <c r="D19" s="53">
        <v>2.5</v>
      </c>
      <c r="E19" s="330" t="s">
        <v>270</v>
      </c>
      <c r="F19" s="98" t="s">
        <v>18</v>
      </c>
      <c r="G19" s="60">
        <v>4.1500000000000004</v>
      </c>
      <c r="H19" s="1703"/>
      <c r="I19" s="1756">
        <f>ROUND(K19*BelarusV_LFpe*(1-$B$70),2)</f>
        <v>1291</v>
      </c>
      <c r="J19" s="1757"/>
      <c r="K19" s="112">
        <f t="shared" si="3"/>
        <v>1291</v>
      </c>
      <c r="L19" s="802">
        <f t="shared" ref="L19:L22" si="4">$L$17</f>
        <v>311</v>
      </c>
      <c r="M19" s="361">
        <v>1</v>
      </c>
      <c r="N19" s="360"/>
      <c r="O19" s="2"/>
      <c r="Q19" s="2"/>
    </row>
    <row r="20" spans="1:17" customFormat="1" ht="24.95" customHeight="1" x14ac:dyDescent="0.3">
      <c r="A20" s="272"/>
      <c r="B20" s="1564"/>
      <c r="C20" s="1560" t="s">
        <v>675</v>
      </c>
      <c r="D20" s="54">
        <v>2</v>
      </c>
      <c r="E20" s="329" t="s">
        <v>272</v>
      </c>
      <c r="F20" s="260" t="s">
        <v>18</v>
      </c>
      <c r="G20" s="58">
        <v>3.56</v>
      </c>
      <c r="H20" s="1702">
        <v>120</v>
      </c>
      <c r="I20" s="1752">
        <f>ROUND(K20*BelarusV_LFpe*(1-$C$70),2)</f>
        <v>1107</v>
      </c>
      <c r="J20" s="1753"/>
      <c r="K20" s="112">
        <f t="shared" si="3"/>
        <v>1107</v>
      </c>
      <c r="L20" s="802">
        <f t="shared" si="4"/>
        <v>311</v>
      </c>
      <c r="M20" s="361">
        <v>1</v>
      </c>
      <c r="N20" s="360"/>
      <c r="O20" s="2"/>
      <c r="Q20" s="2"/>
    </row>
    <row r="21" spans="1:17" customFormat="1" ht="24.95" customHeight="1" x14ac:dyDescent="0.3">
      <c r="A21" s="272"/>
      <c r="B21" s="1564"/>
      <c r="C21" s="1561"/>
      <c r="D21" s="52">
        <v>2.5</v>
      </c>
      <c r="E21" s="400" t="s">
        <v>272</v>
      </c>
      <c r="F21" s="401" t="s">
        <v>18</v>
      </c>
      <c r="G21" s="59">
        <v>4.45</v>
      </c>
      <c r="H21" s="1729"/>
      <c r="I21" s="1754">
        <f>ROUND(K21*BelarusV_LFpe*(1-$C$70),2)</f>
        <v>1384</v>
      </c>
      <c r="J21" s="1755"/>
      <c r="K21" s="112">
        <f t="shared" si="3"/>
        <v>1384</v>
      </c>
      <c r="L21" s="802">
        <f t="shared" si="4"/>
        <v>311</v>
      </c>
      <c r="M21" s="361">
        <v>1</v>
      </c>
      <c r="N21" s="360"/>
      <c r="O21" s="2"/>
      <c r="Q21" s="2"/>
    </row>
    <row r="22" spans="1:17" customFormat="1" ht="24.95" customHeight="1" x14ac:dyDescent="0.3">
      <c r="A22" s="272"/>
      <c r="B22" s="1564"/>
      <c r="C22" s="1562"/>
      <c r="D22" s="53">
        <v>3</v>
      </c>
      <c r="E22" s="331" t="s">
        <v>270</v>
      </c>
      <c r="F22" s="93" t="s">
        <v>18</v>
      </c>
      <c r="G22" s="63">
        <v>5.34</v>
      </c>
      <c r="H22" s="1703"/>
      <c r="I22" s="1756">
        <f>ROUND(K22*BelarusV_LFpe*(1-$C$70),2)</f>
        <v>1661</v>
      </c>
      <c r="J22" s="1757"/>
      <c r="K22" s="112">
        <f t="shared" si="3"/>
        <v>1661</v>
      </c>
      <c r="L22" s="802">
        <f t="shared" si="4"/>
        <v>311</v>
      </c>
      <c r="M22" s="361">
        <v>1</v>
      </c>
      <c r="N22" s="360"/>
      <c r="O22" s="2"/>
      <c r="Q22" s="2"/>
    </row>
    <row r="23" spans="1:17" customFormat="1" ht="39.950000000000003" customHeight="1" x14ac:dyDescent="0.3">
      <c r="A23" s="272"/>
      <c r="B23" s="1564"/>
      <c r="C23" s="1560" t="s">
        <v>676</v>
      </c>
      <c r="D23" s="324">
        <v>2.5</v>
      </c>
      <c r="E23" s="332" t="s">
        <v>270</v>
      </c>
      <c r="F23" s="119">
        <v>5</v>
      </c>
      <c r="G23" s="58">
        <v>5.21</v>
      </c>
      <c r="H23" s="1702">
        <v>120</v>
      </c>
      <c r="I23" s="1752">
        <f>ROUND(K23*BelarusV_LFpe*(1-$C$70),2)</f>
        <v>1563</v>
      </c>
      <c r="J23" s="1753"/>
      <c r="K23" s="112">
        <f t="shared" si="3"/>
        <v>1563</v>
      </c>
      <c r="L23" s="801">
        <v>290</v>
      </c>
      <c r="M23" s="361">
        <v>1</v>
      </c>
      <c r="N23" s="503">
        <v>10</v>
      </c>
      <c r="O23" s="2"/>
      <c r="Q23" s="2"/>
    </row>
    <row r="24" spans="1:17" customFormat="1" ht="39.950000000000003" customHeight="1" x14ac:dyDescent="0.3">
      <c r="A24" s="273"/>
      <c r="B24" s="1698"/>
      <c r="C24" s="1562"/>
      <c r="D24" s="53">
        <v>3</v>
      </c>
      <c r="E24" s="330" t="s">
        <v>270</v>
      </c>
      <c r="F24" s="98">
        <v>5</v>
      </c>
      <c r="G24" s="60">
        <v>6.24</v>
      </c>
      <c r="H24" s="1703"/>
      <c r="I24" s="1756">
        <f>ROUND(K24*BelarusV_LFpe*(1-$C$70),2)</f>
        <v>1872</v>
      </c>
      <c r="J24" s="1757"/>
      <c r="K24" s="112">
        <f t="shared" si="3"/>
        <v>1872</v>
      </c>
      <c r="L24" s="801">
        <v>290</v>
      </c>
      <c r="M24" s="361">
        <v>1</v>
      </c>
      <c r="N24" s="503">
        <v>10</v>
      </c>
      <c r="O24" s="2"/>
      <c r="Q24" s="2"/>
    </row>
    <row r="25" spans="1:17" customFormat="1" ht="60" customHeight="1" x14ac:dyDescent="0.3">
      <c r="A25" s="273"/>
      <c r="B25" s="668" t="s">
        <v>503</v>
      </c>
      <c r="C25" s="666" t="s">
        <v>677</v>
      </c>
      <c r="D25" s="669">
        <v>2</v>
      </c>
      <c r="E25" s="333" t="s">
        <v>270</v>
      </c>
      <c r="F25" s="110" t="s">
        <v>137</v>
      </c>
      <c r="G25" s="670">
        <v>1.99</v>
      </c>
      <c r="H25" s="667" t="s">
        <v>123</v>
      </c>
      <c r="I25" s="1693">
        <f>ROUND(K25*BelarusV_LFpe*(1-$B$70),2)</f>
        <v>861</v>
      </c>
      <c r="J25" s="1694"/>
      <c r="K25" s="112">
        <v>861</v>
      </c>
      <c r="L25" s="687"/>
      <c r="M25" s="687"/>
      <c r="N25" s="360"/>
      <c r="O25" s="2"/>
      <c r="Q25" s="2"/>
    </row>
    <row r="26" spans="1:17" customFormat="1" ht="24.95" customHeight="1" x14ac:dyDescent="0.2">
      <c r="A26" s="1699"/>
      <c r="B26" s="1697" t="s">
        <v>678</v>
      </c>
      <c r="C26" s="1697"/>
      <c r="D26" s="1766" t="s">
        <v>18</v>
      </c>
      <c r="E26" s="1710" t="s">
        <v>505</v>
      </c>
      <c r="F26" s="753" t="s">
        <v>124</v>
      </c>
      <c r="G26" s="1712">
        <v>7.0000000000000007E-2</v>
      </c>
      <c r="H26" s="1751" t="s">
        <v>836</v>
      </c>
      <c r="I26" s="1713">
        <f>ROUND(K26*BelarusV_LFzn*(1-$B$70),2)</f>
        <v>58</v>
      </c>
      <c r="J26" s="1714"/>
      <c r="K26" s="309">
        <v>58</v>
      </c>
      <c r="L26" s="687"/>
      <c r="M26" s="360"/>
      <c r="N26" s="2"/>
    </row>
    <row r="27" spans="1:17" customFormat="1" ht="35.1" customHeight="1" x14ac:dyDescent="0.2">
      <c r="A27" s="1699"/>
      <c r="B27" s="1697"/>
      <c r="C27" s="1697"/>
      <c r="D27" s="1766"/>
      <c r="E27" s="1711"/>
      <c r="F27" s="752" t="s">
        <v>137</v>
      </c>
      <c r="G27" s="1712"/>
      <c r="H27" s="1751"/>
      <c r="I27" s="1715">
        <f>ROUND(K27*BelarusV_LFpe*(1-$B$70),2)</f>
        <v>58</v>
      </c>
      <c r="J27" s="1716"/>
      <c r="K27" s="309">
        <v>58</v>
      </c>
      <c r="L27" s="687"/>
      <c r="M27" s="360"/>
      <c r="N27" s="2"/>
    </row>
    <row r="28" spans="1:17" customFormat="1" ht="58.5" customHeight="1" x14ac:dyDescent="0.3">
      <c r="A28" s="100"/>
      <c r="B28" s="1730" t="s">
        <v>679</v>
      </c>
      <c r="C28" s="1731"/>
      <c r="D28" s="64" t="s">
        <v>18</v>
      </c>
      <c r="E28" s="333" t="s">
        <v>270</v>
      </c>
      <c r="F28" s="110" t="s">
        <v>137</v>
      </c>
      <c r="G28" s="65">
        <v>0.05</v>
      </c>
      <c r="H28" s="362" t="s">
        <v>837</v>
      </c>
      <c r="I28" s="1693">
        <f>ROUND(K28*BelarusV_LFpe*(1-$B$70),2)</f>
        <v>63</v>
      </c>
      <c r="J28" s="1694"/>
      <c r="K28" s="309">
        <v>63</v>
      </c>
      <c r="L28" s="687"/>
      <c r="M28" s="360"/>
      <c r="N28" s="2"/>
    </row>
    <row r="29" spans="1:17" customFormat="1" ht="24.95" customHeight="1" x14ac:dyDescent="0.2">
      <c r="A29" s="1699"/>
      <c r="B29" s="1608" t="s">
        <v>252</v>
      </c>
      <c r="C29" s="1608"/>
      <c r="D29" s="1766" t="s">
        <v>134</v>
      </c>
      <c r="E29" s="1710" t="s">
        <v>270</v>
      </c>
      <c r="F29" s="753" t="s">
        <v>124</v>
      </c>
      <c r="G29" s="1712">
        <v>0.1</v>
      </c>
      <c r="H29" s="1603">
        <v>100</v>
      </c>
      <c r="I29" s="1713">
        <f>ROUND(K29*BelarusV_LFzn*(1-$B$70),2)</f>
        <v>111</v>
      </c>
      <c r="J29" s="1714"/>
      <c r="K29" s="309">
        <v>111</v>
      </c>
      <c r="L29" s="687"/>
      <c r="M29" s="360"/>
      <c r="N29" s="2"/>
    </row>
    <row r="30" spans="1:17" customFormat="1" ht="34.5" customHeight="1" x14ac:dyDescent="0.2">
      <c r="A30" s="1699"/>
      <c r="B30" s="1608"/>
      <c r="C30" s="1608"/>
      <c r="D30" s="1766"/>
      <c r="E30" s="1711"/>
      <c r="F30" s="752" t="s">
        <v>137</v>
      </c>
      <c r="G30" s="1712"/>
      <c r="H30" s="1603"/>
      <c r="I30" s="1715">
        <f>ROUND(K30*BelarusV_LFpe*(1-$B$70),2)</f>
        <v>111</v>
      </c>
      <c r="J30" s="1716"/>
      <c r="K30" s="309">
        <v>111</v>
      </c>
      <c r="L30" s="687"/>
      <c r="M30" s="360"/>
      <c r="N30" s="2"/>
    </row>
    <row r="31" spans="1:17" customFormat="1" ht="60" customHeight="1" x14ac:dyDescent="0.3">
      <c r="A31" s="318"/>
      <c r="B31" s="1700" t="s">
        <v>1328</v>
      </c>
      <c r="C31" s="1701"/>
      <c r="D31" s="64" t="s">
        <v>281</v>
      </c>
      <c r="E31" s="333" t="s">
        <v>270</v>
      </c>
      <c r="F31" s="110" t="s">
        <v>137</v>
      </c>
      <c r="G31" s="65">
        <v>0.1</v>
      </c>
      <c r="H31" s="47">
        <v>100</v>
      </c>
      <c r="I31" s="1693">
        <f>ROUND(K31*BelarusV_LFpe*(1-$B$70),2)</f>
        <v>180</v>
      </c>
      <c r="J31" s="1694"/>
      <c r="K31" s="309">
        <v>180</v>
      </c>
      <c r="L31" s="687"/>
      <c r="M31" s="360"/>
      <c r="N31" s="2"/>
    </row>
    <row r="32" spans="1:17" customFormat="1" ht="60" customHeight="1" x14ac:dyDescent="0.3">
      <c r="A32" s="318"/>
      <c r="B32" s="1700" t="s">
        <v>1329</v>
      </c>
      <c r="C32" s="1701"/>
      <c r="D32" s="64" t="s">
        <v>1330</v>
      </c>
      <c r="E32" s="333" t="s">
        <v>270</v>
      </c>
      <c r="F32" s="110" t="s">
        <v>137</v>
      </c>
      <c r="G32" s="65">
        <v>0.1</v>
      </c>
      <c r="H32" s="47">
        <v>100</v>
      </c>
      <c r="I32" s="1693">
        <f>ROUND(K32*BelarusV_LFpe*(1-$B$70),2)</f>
        <v>180</v>
      </c>
      <c r="J32" s="1694"/>
      <c r="K32" s="309">
        <v>180</v>
      </c>
      <c r="L32" s="687"/>
      <c r="M32" s="360"/>
      <c r="N32" s="2"/>
    </row>
    <row r="33" spans="1:55" customFormat="1" ht="9.9499999999999993" customHeight="1" x14ac:dyDescent="0.3">
      <c r="A33" s="486"/>
      <c r="B33" s="487"/>
      <c r="C33" s="487"/>
      <c r="D33" s="488"/>
      <c r="E33" s="489"/>
      <c r="F33" s="490"/>
      <c r="G33" s="491"/>
      <c r="H33" s="492"/>
      <c r="I33" s="493"/>
      <c r="J33" s="493"/>
      <c r="K33" s="502"/>
      <c r="L33" s="687"/>
      <c r="M33" s="360"/>
      <c r="N33" s="2"/>
    </row>
    <row r="34" spans="1:55" customFormat="1" ht="39.950000000000003" customHeight="1" x14ac:dyDescent="0.4">
      <c r="A34" s="1704" t="s">
        <v>463</v>
      </c>
      <c r="B34" s="1704"/>
      <c r="C34" s="1704"/>
      <c r="D34" s="1704"/>
      <c r="E34" s="1704"/>
      <c r="F34" s="1704"/>
      <c r="G34" s="1704"/>
      <c r="H34" s="1704"/>
      <c r="I34" s="1704"/>
      <c r="J34" s="1704"/>
      <c r="K34" s="502"/>
      <c r="L34" s="687"/>
      <c r="M34" s="360"/>
      <c r="N34" s="2"/>
    </row>
    <row r="35" spans="1:55" customFormat="1" ht="23.25" customHeight="1" x14ac:dyDescent="0.2">
      <c r="A35" s="1706" t="s">
        <v>260</v>
      </c>
      <c r="B35" s="1705" t="s">
        <v>71</v>
      </c>
      <c r="C35" s="1705" t="s">
        <v>13</v>
      </c>
      <c r="D35" s="1705"/>
      <c r="E35" s="1725" t="s">
        <v>179</v>
      </c>
      <c r="F35" s="1706" t="s">
        <v>23</v>
      </c>
      <c r="G35" s="1705" t="s">
        <v>695</v>
      </c>
      <c r="H35" s="1705"/>
      <c r="I35" s="1705" t="s">
        <v>464</v>
      </c>
      <c r="J35" s="1705"/>
      <c r="K35" s="502"/>
      <c r="L35" s="687"/>
      <c r="M35" s="360"/>
      <c r="N35" s="2"/>
    </row>
    <row r="36" spans="1:55" customFormat="1" ht="23.25" customHeight="1" x14ac:dyDescent="0.2">
      <c r="A36" s="1707"/>
      <c r="B36" s="1705"/>
      <c r="C36" s="1705"/>
      <c r="D36" s="1705"/>
      <c r="E36" s="1726"/>
      <c r="F36" s="1707"/>
      <c r="G36" s="1705"/>
      <c r="H36" s="1705"/>
      <c r="I36" s="1705" t="s">
        <v>265</v>
      </c>
      <c r="J36" s="1705"/>
      <c r="K36" s="502"/>
      <c r="L36" s="687"/>
      <c r="M36" s="360"/>
      <c r="N36" s="2"/>
    </row>
    <row r="37" spans="1:55" customFormat="1" ht="39.950000000000003" customHeight="1" x14ac:dyDescent="0.2">
      <c r="A37" s="1699"/>
      <c r="B37" s="1555" t="s">
        <v>465</v>
      </c>
      <c r="C37" s="1767" t="s">
        <v>566</v>
      </c>
      <c r="D37" s="1768"/>
      <c r="E37" s="333" t="s">
        <v>467</v>
      </c>
      <c r="F37" s="1710" t="s">
        <v>468</v>
      </c>
      <c r="G37" s="1695" t="s">
        <v>719</v>
      </c>
      <c r="H37" s="1696"/>
      <c r="I37" s="1693">
        <f t="shared" ref="I37:I42" si="5">ROUND(K37*BelarusV_LFpe*(1-$B$70),2)</f>
        <v>29090</v>
      </c>
      <c r="J37" s="1694"/>
      <c r="K37" s="309">
        <v>29090</v>
      </c>
      <c r="L37" s="687">
        <v>43.05</v>
      </c>
      <c r="M37" s="733"/>
      <c r="N37" s="1017"/>
      <c r="O37" s="337"/>
      <c r="P37" s="733"/>
    </row>
    <row r="38" spans="1:55" customFormat="1" ht="39.950000000000003" customHeight="1" x14ac:dyDescent="0.2">
      <c r="A38" s="1699"/>
      <c r="B38" s="1556"/>
      <c r="C38" s="1769"/>
      <c r="D38" s="1770"/>
      <c r="E38" s="333" t="s">
        <v>467</v>
      </c>
      <c r="F38" s="1727"/>
      <c r="G38" s="1695" t="s">
        <v>720</v>
      </c>
      <c r="H38" s="1696"/>
      <c r="I38" s="1693">
        <f t="shared" si="5"/>
        <v>31196</v>
      </c>
      <c r="J38" s="1694"/>
      <c r="K38" s="309">
        <v>31196</v>
      </c>
      <c r="L38" s="687">
        <v>47.26</v>
      </c>
      <c r="M38" s="734"/>
      <c r="N38" s="1017"/>
      <c r="O38" s="337"/>
      <c r="P38" s="733"/>
    </row>
    <row r="39" spans="1:55" customFormat="1" ht="39.950000000000003" customHeight="1" x14ac:dyDescent="0.2">
      <c r="A39" s="1699"/>
      <c r="B39" s="1557"/>
      <c r="C39" s="1771"/>
      <c r="D39" s="1772"/>
      <c r="E39" s="333" t="s">
        <v>467</v>
      </c>
      <c r="F39" s="1711"/>
      <c r="G39" s="1695" t="s">
        <v>721</v>
      </c>
      <c r="H39" s="1696"/>
      <c r="I39" s="1693">
        <f t="shared" si="5"/>
        <v>40675</v>
      </c>
      <c r="J39" s="1694"/>
      <c r="K39" s="309">
        <v>40675</v>
      </c>
      <c r="L39" s="687">
        <v>64.17</v>
      </c>
      <c r="M39" s="734"/>
      <c r="N39" s="1017"/>
      <c r="O39" s="337"/>
      <c r="P39" s="733"/>
    </row>
    <row r="40" spans="1:55" customFormat="1" ht="39.950000000000003" customHeight="1" x14ac:dyDescent="0.2">
      <c r="A40" s="1721"/>
      <c r="B40" s="1555" t="s">
        <v>466</v>
      </c>
      <c r="C40" s="1767" t="s">
        <v>567</v>
      </c>
      <c r="D40" s="1768"/>
      <c r="E40" s="333" t="s">
        <v>467</v>
      </c>
      <c r="F40" s="1710" t="s">
        <v>468</v>
      </c>
      <c r="G40" s="1695" t="s">
        <v>684</v>
      </c>
      <c r="H40" s="1696"/>
      <c r="I40" s="1693">
        <f t="shared" si="5"/>
        <v>12598.8</v>
      </c>
      <c r="J40" s="1694"/>
      <c r="K40" s="309">
        <f>L40*M40*N40</f>
        <v>12598.795319999999</v>
      </c>
      <c r="L40" s="687">
        <v>17.84</v>
      </c>
      <c r="M40" s="733">
        <v>645</v>
      </c>
      <c r="N40" s="736">
        <v>1.0949</v>
      </c>
      <c r="O40" s="735"/>
    </row>
    <row r="41" spans="1:55" customFormat="1" ht="39.950000000000003" customHeight="1" x14ac:dyDescent="0.2">
      <c r="A41" s="1722"/>
      <c r="B41" s="1556"/>
      <c r="C41" s="1769"/>
      <c r="D41" s="1770"/>
      <c r="E41" s="333" t="s">
        <v>467</v>
      </c>
      <c r="F41" s="1727"/>
      <c r="G41" s="1695" t="s">
        <v>685</v>
      </c>
      <c r="H41" s="1696"/>
      <c r="I41" s="1693">
        <f t="shared" si="5"/>
        <v>13761.59</v>
      </c>
      <c r="J41" s="1694"/>
      <c r="K41" s="309">
        <f>L41*M41*N41</f>
        <v>13761.591000000002</v>
      </c>
      <c r="L41" s="687">
        <v>19.940000000000001</v>
      </c>
      <c r="M41" s="734">
        <f>$M$40</f>
        <v>645</v>
      </c>
      <c r="N41" s="736">
        <v>1.07</v>
      </c>
      <c r="O41" s="735"/>
    </row>
    <row r="42" spans="1:55" customFormat="1" ht="39.950000000000003" customHeight="1" x14ac:dyDescent="0.2">
      <c r="A42" s="1723"/>
      <c r="B42" s="1557"/>
      <c r="C42" s="1771"/>
      <c r="D42" s="1772"/>
      <c r="E42" s="333" t="s">
        <v>467</v>
      </c>
      <c r="F42" s="1711"/>
      <c r="G42" s="1695" t="s">
        <v>686</v>
      </c>
      <c r="H42" s="1696"/>
      <c r="I42" s="1693">
        <f t="shared" si="5"/>
        <v>15067.2</v>
      </c>
      <c r="J42" s="1694"/>
      <c r="K42" s="309">
        <f>L42*M42*N42</f>
        <v>15067.199999999999</v>
      </c>
      <c r="L42" s="687">
        <v>23.36</v>
      </c>
      <c r="M42" s="734">
        <f>$M$40</f>
        <v>645</v>
      </c>
      <c r="N42" s="736">
        <v>1</v>
      </c>
      <c r="O42" s="687"/>
      <c r="P42" s="732"/>
    </row>
    <row r="43" spans="1:55" customFormat="1" ht="9.9499999999999993" customHeight="1" x14ac:dyDescent="0.3">
      <c r="A43" s="95"/>
      <c r="B43" s="103"/>
      <c r="C43" s="103"/>
      <c r="D43" s="599"/>
      <c r="E43" s="600"/>
      <c r="F43" s="601"/>
      <c r="G43" s="602"/>
      <c r="H43" s="105"/>
      <c r="I43" s="107"/>
      <c r="J43" s="107"/>
      <c r="K43" s="502"/>
      <c r="L43" s="687"/>
      <c r="M43" s="360"/>
      <c r="N43" s="2"/>
    </row>
    <row r="44" spans="1:55" customFormat="1" ht="39.950000000000003" customHeight="1" x14ac:dyDescent="0.4">
      <c r="A44" s="1704" t="s">
        <v>278</v>
      </c>
      <c r="B44" s="1704"/>
      <c r="C44" s="1704"/>
      <c r="D44" s="1704"/>
      <c r="E44" s="1704"/>
      <c r="F44" s="1704"/>
      <c r="G44" s="1704"/>
      <c r="H44" s="1704"/>
      <c r="I44" s="1704"/>
      <c r="J44" s="1704"/>
      <c r="K44" s="87"/>
      <c r="L44" s="306"/>
      <c r="M44" s="334"/>
      <c r="N44" s="2"/>
    </row>
    <row r="45" spans="1:55" customFormat="1" ht="69.95" customHeight="1" x14ac:dyDescent="0.25">
      <c r="A45" s="108" t="s">
        <v>76</v>
      </c>
      <c r="B45" s="384" t="s">
        <v>71</v>
      </c>
      <c r="C45" s="108" t="s">
        <v>125</v>
      </c>
      <c r="D45" s="108" t="s">
        <v>249</v>
      </c>
      <c r="E45" s="108" t="s">
        <v>29</v>
      </c>
      <c r="F45" s="108" t="s">
        <v>28</v>
      </c>
      <c r="G45" s="108" t="s">
        <v>280</v>
      </c>
      <c r="H45" s="108" t="s">
        <v>307</v>
      </c>
      <c r="I45" s="1736" t="s">
        <v>351</v>
      </c>
      <c r="J45" s="1737"/>
      <c r="L45" s="638">
        <v>321</v>
      </c>
      <c r="M45" s="637" t="s">
        <v>488</v>
      </c>
      <c r="N45" s="736"/>
      <c r="BC45" s="1"/>
    </row>
    <row r="46" spans="1:55" customFormat="1" ht="75" customHeight="1" x14ac:dyDescent="0.25">
      <c r="A46" s="262"/>
      <c r="B46" s="1795" t="s">
        <v>479</v>
      </c>
      <c r="C46" s="119" t="s">
        <v>561</v>
      </c>
      <c r="D46" s="73">
        <v>1.6</v>
      </c>
      <c r="E46" s="119" t="s">
        <v>680</v>
      </c>
      <c r="F46" s="119" t="s">
        <v>562</v>
      </c>
      <c r="G46" s="119">
        <v>22</v>
      </c>
      <c r="H46" s="119" t="s">
        <v>123</v>
      </c>
      <c r="I46" s="1797">
        <f>ROUND(K46*BelarusV*(1-$D$70),2)</f>
        <v>5775</v>
      </c>
      <c r="J46" s="1798"/>
      <c r="K46" s="309">
        <v>5775</v>
      </c>
      <c r="L46" s="751"/>
      <c r="M46" s="637"/>
      <c r="N46" s="736"/>
      <c r="BC46" s="1"/>
    </row>
    <row r="47" spans="1:55" customFormat="1" ht="39.950000000000003" customHeight="1" x14ac:dyDescent="0.2">
      <c r="A47" s="501"/>
      <c r="B47" s="1304"/>
      <c r="C47" s="1555" t="s">
        <v>390</v>
      </c>
      <c r="D47" s="1748">
        <v>2.2000000000000002</v>
      </c>
      <c r="E47" s="1555" t="s">
        <v>681</v>
      </c>
      <c r="F47" s="96" t="s">
        <v>439</v>
      </c>
      <c r="G47" s="96">
        <v>18</v>
      </c>
      <c r="H47" s="96" t="s">
        <v>440</v>
      </c>
      <c r="I47" s="1773">
        <f>ROUND(K47*BelarusV*(1-$D$70),2)</f>
        <v>9630</v>
      </c>
      <c r="J47" s="1774"/>
      <c r="K47" s="309">
        <f>$L$45*(L47*M47)</f>
        <v>9630</v>
      </c>
      <c r="L47" s="636">
        <v>1.5</v>
      </c>
      <c r="M47" s="636">
        <v>20</v>
      </c>
      <c r="N47" s="306"/>
      <c r="O47" s="687"/>
      <c r="BC47" s="1"/>
    </row>
    <row r="48" spans="1:55" customFormat="1" ht="39.950000000000003" customHeight="1" x14ac:dyDescent="0.2">
      <c r="A48" s="501"/>
      <c r="B48" s="1304"/>
      <c r="C48" s="1556"/>
      <c r="D48" s="1749"/>
      <c r="E48" s="1556"/>
      <c r="F48" s="97" t="s">
        <v>551</v>
      </c>
      <c r="G48" s="97">
        <v>21</v>
      </c>
      <c r="H48" s="97" t="s">
        <v>440</v>
      </c>
      <c r="I48" s="1717">
        <f>ROUND(K48*BelarusV*(1-$D$70),2)</f>
        <v>11556</v>
      </c>
      <c r="J48" s="1718"/>
      <c r="K48" s="309">
        <f t="shared" ref="K48:K49" si="6">$L$45*(L48*M48)</f>
        <v>11556</v>
      </c>
      <c r="L48" s="636">
        <v>1.8</v>
      </c>
      <c r="M48" s="636">
        <v>20</v>
      </c>
      <c r="N48" s="306"/>
      <c r="O48" s="687"/>
      <c r="BC48" s="1"/>
    </row>
    <row r="49" spans="1:55" customFormat="1" ht="39.950000000000003" customHeight="1" x14ac:dyDescent="0.2">
      <c r="A49" s="501"/>
      <c r="B49" s="1796"/>
      <c r="C49" s="1557"/>
      <c r="D49" s="1750"/>
      <c r="E49" s="1557"/>
      <c r="F49" s="98" t="s">
        <v>552</v>
      </c>
      <c r="G49" s="98">
        <v>23</v>
      </c>
      <c r="H49" s="98" t="s">
        <v>440</v>
      </c>
      <c r="I49" s="1719">
        <f>ROUND(K49*BelarusV*(1-$D$70),2)</f>
        <v>12840</v>
      </c>
      <c r="J49" s="1720"/>
      <c r="K49" s="309">
        <f t="shared" si="6"/>
        <v>12840</v>
      </c>
      <c r="L49" s="636">
        <v>2</v>
      </c>
      <c r="M49" s="636">
        <v>20</v>
      </c>
      <c r="N49" s="306"/>
      <c r="O49" s="687"/>
      <c r="BC49" s="1"/>
    </row>
    <row r="50" spans="1:55" customFormat="1" ht="45" customHeight="1" x14ac:dyDescent="0.2">
      <c r="A50" s="317"/>
      <c r="B50" s="725" t="s">
        <v>478</v>
      </c>
      <c r="C50" s="726" t="s">
        <v>390</v>
      </c>
      <c r="D50" s="726" t="s">
        <v>279</v>
      </c>
      <c r="E50" s="726" t="s">
        <v>681</v>
      </c>
      <c r="F50" s="728" t="s">
        <v>31</v>
      </c>
      <c r="G50" s="727">
        <v>13.5</v>
      </c>
      <c r="H50" s="727" t="s">
        <v>308</v>
      </c>
      <c r="I50" s="1793">
        <f>ROUND(K50*BelarusV*(1-$D$70),2)</f>
        <v>9386</v>
      </c>
      <c r="J50" s="1794"/>
      <c r="K50" s="729">
        <v>9386</v>
      </c>
      <c r="L50" s="636"/>
      <c r="M50" s="2"/>
      <c r="N50" s="1"/>
      <c r="BC50" s="1"/>
    </row>
    <row r="51" spans="1:55" customFormat="1" ht="54.95" customHeight="1" x14ac:dyDescent="0.2">
      <c r="A51" s="146"/>
      <c r="B51" s="1760" t="s">
        <v>649</v>
      </c>
      <c r="C51" s="1761"/>
      <c r="D51" s="1762"/>
      <c r="E51" s="323"/>
      <c r="F51" s="1763" t="s">
        <v>18</v>
      </c>
      <c r="G51" s="1764"/>
      <c r="H51" s="1765"/>
      <c r="I51" s="1791">
        <f>ROUND(K51*BelarusV*(1-$B$70),2)</f>
        <v>23</v>
      </c>
      <c r="J51" s="1792"/>
      <c r="K51" s="309">
        <v>23</v>
      </c>
      <c r="L51" s="306"/>
      <c r="M51" s="334"/>
      <c r="N51" s="2"/>
    </row>
    <row r="52" spans="1:55" customFormat="1" ht="24.95" customHeight="1" x14ac:dyDescent="0.25">
      <c r="A52" s="371" t="s">
        <v>469</v>
      </c>
      <c r="B52" s="485"/>
      <c r="C52" s="485"/>
      <c r="D52" s="1728" t="s">
        <v>546</v>
      </c>
      <c r="E52" s="1728"/>
      <c r="F52" s="1728"/>
      <c r="G52" s="1728"/>
      <c r="H52" s="1728"/>
      <c r="I52" s="1728"/>
      <c r="J52" s="1728"/>
      <c r="K52" s="87"/>
      <c r="L52" s="737"/>
      <c r="M52" s="737"/>
      <c r="N52" s="737"/>
      <c r="U52" s="1"/>
      <c r="V52" s="1"/>
      <c r="W52" s="1"/>
      <c r="X52" s="1"/>
      <c r="Y52" s="1"/>
      <c r="Z52" s="1"/>
    </row>
    <row r="53" spans="1:55" customFormat="1" ht="24.95" customHeight="1" x14ac:dyDescent="0.25">
      <c r="A53" s="372" t="s">
        <v>418</v>
      </c>
      <c r="B53" s="402"/>
      <c r="C53" s="402"/>
      <c r="D53" s="1728"/>
      <c r="E53" s="1728"/>
      <c r="F53" s="1728"/>
      <c r="G53" s="1728"/>
      <c r="H53" s="1728"/>
      <c r="I53" s="1728"/>
      <c r="J53" s="1728"/>
      <c r="K53" s="87"/>
      <c r="L53" s="737"/>
      <c r="M53" s="737"/>
      <c r="N53" s="73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55" customFormat="1" ht="24.95" customHeight="1" x14ac:dyDescent="0.25">
      <c r="A54" s="372" t="s">
        <v>509</v>
      </c>
      <c r="B54" s="402"/>
      <c r="C54" s="402"/>
      <c r="D54" s="1775" t="s">
        <v>548</v>
      </c>
      <c r="E54" s="1775"/>
      <c r="F54" s="1775"/>
      <c r="G54" s="1775"/>
      <c r="H54" s="1775"/>
      <c r="I54" s="1775"/>
      <c r="J54" s="1775"/>
      <c r="K54" s="87"/>
      <c r="L54" s="279"/>
      <c r="M54" s="33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55" customFormat="1" ht="24.95" customHeight="1" x14ac:dyDescent="0.25">
      <c r="A55" s="372" t="s">
        <v>508</v>
      </c>
      <c r="B55" s="402"/>
      <c r="C55" s="402"/>
      <c r="D55" s="1776" t="s">
        <v>1351</v>
      </c>
      <c r="E55" s="1776"/>
      <c r="F55" s="1776"/>
      <c r="G55" s="1776"/>
      <c r="H55" s="1776"/>
      <c r="I55" s="1776"/>
      <c r="J55" s="1776"/>
      <c r="K55" s="87"/>
      <c r="L55" s="279"/>
      <c r="M55" s="33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55" customFormat="1" ht="24.95" customHeight="1" x14ac:dyDescent="0.25">
      <c r="A56" s="372" t="s">
        <v>506</v>
      </c>
      <c r="B56" s="373"/>
      <c r="C56" s="373"/>
      <c r="D56" s="1776"/>
      <c r="E56" s="1776"/>
      <c r="F56" s="1776"/>
      <c r="G56" s="1776"/>
      <c r="H56" s="1776"/>
      <c r="I56" s="1776"/>
      <c r="J56" s="1776"/>
      <c r="K56" s="87"/>
      <c r="L56" s="279"/>
      <c r="M56" s="33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55" customFormat="1" ht="24.95" customHeight="1" x14ac:dyDescent="0.25">
      <c r="A57" s="372" t="s">
        <v>731</v>
      </c>
      <c r="B57" s="402"/>
      <c r="C57" s="402"/>
      <c r="D57" s="1775"/>
      <c r="E57" s="1775"/>
      <c r="F57" s="1775"/>
      <c r="G57" s="1775"/>
      <c r="H57" s="1775"/>
      <c r="I57" s="1786" t="s">
        <v>1352</v>
      </c>
      <c r="J57" s="1787"/>
      <c r="K57" s="87"/>
      <c r="L57" s="279"/>
      <c r="M57" s="33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55" customFormat="1" ht="24.95" customHeight="1" x14ac:dyDescent="0.25">
      <c r="A58" s="613" t="s">
        <v>354</v>
      </c>
      <c r="B58" s="371"/>
      <c r="C58" s="371"/>
      <c r="D58" s="1789" t="s">
        <v>535</v>
      </c>
      <c r="E58" s="1789"/>
      <c r="F58" s="1789"/>
      <c r="G58" s="1789"/>
      <c r="H58" s="1789"/>
      <c r="I58" s="1788"/>
      <c r="J58" s="1775"/>
      <c r="K58" s="87"/>
      <c r="L58" s="279"/>
      <c r="M58" s="33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55" customFormat="1" ht="24.95" customHeight="1" x14ac:dyDescent="0.25">
      <c r="A59" s="613"/>
      <c r="B59" s="371"/>
      <c r="C59" s="371"/>
      <c r="D59" s="1789"/>
      <c r="E59" s="1789"/>
      <c r="F59" s="1789"/>
      <c r="G59" s="1789"/>
      <c r="H59" s="1789"/>
      <c r="I59" s="1788"/>
      <c r="J59" s="1775"/>
      <c r="K59" s="87"/>
      <c r="L59" s="279"/>
      <c r="M59" s="33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55" customFormat="1" ht="39.950000000000003" customHeight="1" thickBot="1" x14ac:dyDescent="0.3">
      <c r="A60" s="1724" t="s">
        <v>547</v>
      </c>
      <c r="B60" s="1724"/>
      <c r="C60" s="1724"/>
      <c r="D60" s="1724" t="s">
        <v>536</v>
      </c>
      <c r="E60" s="1724"/>
      <c r="F60" s="1724"/>
      <c r="G60" s="1724"/>
      <c r="H60" s="1724"/>
      <c r="I60" s="1724"/>
      <c r="J60" s="1724"/>
      <c r="K60" s="87"/>
      <c r="L60" s="279"/>
      <c r="M60" s="334"/>
      <c r="U60" s="1"/>
      <c r="V60" s="1"/>
      <c r="W60" s="1"/>
      <c r="X60" s="1"/>
      <c r="Y60" s="1"/>
      <c r="Z60" s="1"/>
    </row>
    <row r="61" spans="1:55" customFormat="1" ht="24.95" customHeight="1" x14ac:dyDescent="0.25">
      <c r="A61" s="372" t="s">
        <v>542</v>
      </c>
      <c r="B61" s="373"/>
      <c r="C61" s="373"/>
      <c r="D61" s="1777" t="s">
        <v>441</v>
      </c>
      <c r="E61" s="1778"/>
      <c r="F61" s="1778"/>
      <c r="G61" s="1778"/>
      <c r="H61" s="1778"/>
      <c r="I61" s="1778"/>
      <c r="J61" s="1779"/>
      <c r="K61" s="87"/>
      <c r="L61" s="279"/>
      <c r="M61" s="334"/>
      <c r="U61" s="1"/>
      <c r="V61" s="1"/>
      <c r="W61" s="1"/>
      <c r="X61" s="1"/>
      <c r="Y61" s="1"/>
      <c r="Z61" s="1"/>
    </row>
    <row r="62" spans="1:55" customFormat="1" ht="24.95" customHeight="1" x14ac:dyDescent="0.25">
      <c r="A62" s="372" t="s">
        <v>543</v>
      </c>
      <c r="B62" s="1"/>
      <c r="C62" s="1"/>
      <c r="D62" s="1780"/>
      <c r="E62" s="1781"/>
      <c r="F62" s="1781"/>
      <c r="G62" s="1781"/>
      <c r="H62" s="1781"/>
      <c r="I62" s="1781"/>
      <c r="J62" s="1782"/>
      <c r="K62" s="87"/>
      <c r="L62" s="279"/>
      <c r="M62" s="334"/>
      <c r="U62" s="1"/>
      <c r="V62" s="1"/>
      <c r="W62" s="1"/>
      <c r="X62" s="1"/>
      <c r="Y62" s="1"/>
      <c r="Z62" s="1"/>
    </row>
    <row r="63" spans="1:55" customFormat="1" ht="24.95" customHeight="1" thickBot="1" x14ac:dyDescent="0.3">
      <c r="A63" s="1"/>
      <c r="B63" s="1"/>
      <c r="C63" s="1"/>
      <c r="D63" s="1783"/>
      <c r="E63" s="1784"/>
      <c r="F63" s="1784"/>
      <c r="G63" s="1784"/>
      <c r="H63" s="1784"/>
      <c r="I63" s="1784"/>
      <c r="J63" s="1785"/>
      <c r="K63" s="87"/>
      <c r="L63" s="279"/>
      <c r="M63" s="334"/>
      <c r="U63" s="1"/>
      <c r="V63" s="1"/>
      <c r="W63" s="1"/>
      <c r="X63" s="1"/>
      <c r="Y63" s="1"/>
      <c r="Z63" s="1"/>
    </row>
    <row r="64" spans="1:55" customFormat="1" ht="15" customHeight="1" x14ac:dyDescent="0.25">
      <c r="A64" s="1"/>
      <c r="B64" s="1"/>
      <c r="C64" s="1"/>
      <c r="D64" s="1"/>
      <c r="E64" s="1"/>
      <c r="F64" s="373"/>
      <c r="G64" s="373"/>
      <c r="H64" s="373"/>
      <c r="I64" s="373"/>
      <c r="J64" s="373"/>
      <c r="K64" s="87"/>
      <c r="L64" s="279"/>
      <c r="M64" s="334"/>
    </row>
    <row r="65" spans="1:13" customFormat="1" ht="30" customHeight="1" x14ac:dyDescent="0.2">
      <c r="A65" s="1708" t="s">
        <v>553</v>
      </c>
      <c r="B65" s="1594"/>
      <c r="C65" s="1594"/>
      <c r="D65" s="1594"/>
      <c r="E65" s="1594"/>
      <c r="F65" s="1594"/>
      <c r="G65" s="1594"/>
      <c r="H65" s="1594"/>
      <c r="I65" s="1594"/>
      <c r="J65" s="1709"/>
      <c r="K65" s="69"/>
      <c r="L65" s="69"/>
      <c r="M65" s="69"/>
    </row>
    <row r="66" spans="1:13" customFormat="1" ht="50.1" customHeight="1" x14ac:dyDescent="0.2">
      <c r="A66" s="1323" t="s">
        <v>554</v>
      </c>
      <c r="B66" s="1574"/>
      <c r="C66" s="1574"/>
      <c r="D66" s="1574"/>
      <c r="E66" s="1574"/>
      <c r="F66" s="1574"/>
      <c r="G66" s="1574"/>
      <c r="H66" s="1574"/>
      <c r="I66" s="1574"/>
      <c r="J66" s="1324"/>
      <c r="K66" s="741"/>
      <c r="L66" s="741"/>
      <c r="M66" s="741"/>
    </row>
    <row r="67" spans="1:13" customFormat="1" ht="60" customHeight="1" x14ac:dyDescent="0.2">
      <c r="A67" s="1576" t="s">
        <v>555</v>
      </c>
      <c r="B67" s="1577"/>
      <c r="C67" s="1577"/>
      <c r="D67" s="1577"/>
      <c r="E67" s="1577"/>
      <c r="F67" s="1577"/>
      <c r="G67" s="1577"/>
      <c r="H67" s="1577"/>
      <c r="I67" s="1577"/>
      <c r="J67" s="1578"/>
      <c r="K67" s="744"/>
      <c r="L67" s="744"/>
      <c r="M67" s="744"/>
    </row>
    <row r="68" spans="1:13" ht="20.25" x14ac:dyDescent="0.25">
      <c r="A68" s="69"/>
      <c r="B68" s="69"/>
      <c r="C68" s="69"/>
      <c r="D68" s="69"/>
      <c r="E68" s="69"/>
      <c r="F68" s="122"/>
      <c r="G68" s="122"/>
      <c r="H68" s="122"/>
      <c r="I68" s="122"/>
      <c r="J68" s="122"/>
    </row>
    <row r="69" spans="1:13" ht="63.75" customHeight="1" x14ac:dyDescent="0.3">
      <c r="A69" s="1758" t="s">
        <v>6</v>
      </c>
      <c r="B69" s="367" t="s">
        <v>320</v>
      </c>
      <c r="C69" s="367" t="s">
        <v>319</v>
      </c>
      <c r="D69" s="367" t="s">
        <v>321</v>
      </c>
      <c r="E69" s="5"/>
      <c r="F69" s="5"/>
      <c r="G69" s="5"/>
      <c r="H69" s="5"/>
      <c r="I69" s="5"/>
      <c r="J69" s="5"/>
    </row>
    <row r="70" spans="1:13" ht="61.5" customHeight="1" x14ac:dyDescent="0.3">
      <c r="A70" s="1759"/>
      <c r="B70" s="43">
        <v>0</v>
      </c>
      <c r="C70" s="43">
        <v>0</v>
      </c>
      <c r="D70" s="43">
        <v>0</v>
      </c>
      <c r="E70" s="326"/>
      <c r="F70" s="5"/>
      <c r="G70" s="5"/>
      <c r="H70" s="5"/>
      <c r="K70" s="4"/>
    </row>
    <row r="71" spans="1:13" ht="20.25" x14ac:dyDescent="0.25">
      <c r="B71" s="12"/>
      <c r="C71" s="12"/>
      <c r="D71" s="12"/>
      <c r="E71" s="12"/>
      <c r="F71" s="12"/>
      <c r="G71" s="12"/>
      <c r="H71" s="12"/>
      <c r="I71" s="12"/>
      <c r="J71" s="12"/>
    </row>
    <row r="72" spans="1:13" ht="20.25" x14ac:dyDescent="0.25">
      <c r="B72" s="12"/>
      <c r="C72" s="12"/>
      <c r="D72" s="12"/>
      <c r="E72" s="12"/>
      <c r="F72" s="12"/>
      <c r="G72" s="12"/>
      <c r="H72" s="12"/>
      <c r="I72" s="12"/>
      <c r="J72" s="12"/>
    </row>
    <row r="73" spans="1:13" ht="20.25" x14ac:dyDescent="0.25">
      <c r="B73" s="12"/>
      <c r="C73" s="12"/>
      <c r="D73" s="12"/>
      <c r="E73" s="12"/>
      <c r="F73" s="12"/>
      <c r="G73" s="12"/>
      <c r="H73" s="12"/>
      <c r="I73" s="12"/>
      <c r="J73" s="12"/>
    </row>
    <row r="74" spans="1:13" ht="20.25" x14ac:dyDescent="0.25">
      <c r="B74" s="12"/>
      <c r="C74" s="12"/>
      <c r="D74" s="12"/>
      <c r="E74" s="12"/>
      <c r="F74" s="12"/>
      <c r="G74" s="12"/>
      <c r="H74" s="12"/>
      <c r="I74" s="12"/>
      <c r="J74" s="12"/>
    </row>
    <row r="75" spans="1:13" ht="20.25" x14ac:dyDescent="0.25">
      <c r="B75" s="16"/>
      <c r="C75" s="16"/>
      <c r="D75" s="16"/>
      <c r="E75" s="16"/>
      <c r="F75" s="16"/>
      <c r="G75" s="16"/>
      <c r="H75" s="16"/>
      <c r="I75" s="16"/>
      <c r="J75" s="16"/>
    </row>
    <row r="76" spans="1:13" x14ac:dyDescent="0.25">
      <c r="B76" s="2"/>
      <c r="C76" s="2"/>
      <c r="D76" s="2"/>
      <c r="E76" s="2"/>
      <c r="F76" s="2"/>
      <c r="G76" s="2"/>
      <c r="H76" s="2"/>
      <c r="I76" s="2"/>
      <c r="J76" s="2"/>
    </row>
    <row r="77" spans="1:13" x14ac:dyDescent="0.25">
      <c r="B77" s="2"/>
      <c r="C77" s="2"/>
      <c r="D77" s="2"/>
      <c r="E77" s="2"/>
      <c r="F77" s="2"/>
      <c r="G77" s="2"/>
      <c r="H77" s="2"/>
      <c r="I77" s="2"/>
      <c r="J77" s="2"/>
    </row>
    <row r="78" spans="1:13" x14ac:dyDescent="0.25">
      <c r="B78" s="2"/>
      <c r="C78" s="2"/>
      <c r="D78" s="2"/>
      <c r="E78" s="2"/>
      <c r="F78" s="2"/>
      <c r="G78" s="2"/>
      <c r="H78" s="2"/>
      <c r="I78" s="2"/>
      <c r="J78" s="2"/>
    </row>
    <row r="79" spans="1:13" x14ac:dyDescent="0.25">
      <c r="B79" s="2"/>
      <c r="C79" s="2"/>
      <c r="D79" s="2"/>
      <c r="E79" s="2"/>
      <c r="F79" s="2"/>
      <c r="G79" s="2"/>
      <c r="H79" s="2"/>
      <c r="I79" s="2"/>
      <c r="J79" s="2"/>
    </row>
  </sheetData>
  <sheetProtection formatCells="0" formatColumns="0" formatRows="0" insertColumns="0" insertRows="0" insertHyperlinks="0" deleteColumns="0" deleteRows="0" sort="0" autoFilter="0" pivotTables="0"/>
  <mergeCells count="114">
    <mergeCell ref="D57:H57"/>
    <mergeCell ref="I57:J59"/>
    <mergeCell ref="D58:H59"/>
    <mergeCell ref="B2:G2"/>
    <mergeCell ref="I31:J31"/>
    <mergeCell ref="I45:J45"/>
    <mergeCell ref="I21:J21"/>
    <mergeCell ref="I22:J22"/>
    <mergeCell ref="I20:J20"/>
    <mergeCell ref="I51:J51"/>
    <mergeCell ref="I15:J15"/>
    <mergeCell ref="I16:J16"/>
    <mergeCell ref="I17:J17"/>
    <mergeCell ref="I50:J50"/>
    <mergeCell ref="H29:H30"/>
    <mergeCell ref="I28:J28"/>
    <mergeCell ref="G41:H41"/>
    <mergeCell ref="B15:B16"/>
    <mergeCell ref="D26:D27"/>
    <mergeCell ref="I19:J19"/>
    <mergeCell ref="C17:C19"/>
    <mergeCell ref="H17:H19"/>
    <mergeCell ref="B46:B49"/>
    <mergeCell ref="I46:J46"/>
    <mergeCell ref="C15:C16"/>
    <mergeCell ref="H15:H16"/>
    <mergeCell ref="I24:J24"/>
    <mergeCell ref="A69:A70"/>
    <mergeCell ref="B51:D51"/>
    <mergeCell ref="F51:H51"/>
    <mergeCell ref="B29:C30"/>
    <mergeCell ref="D29:D30"/>
    <mergeCell ref="E29:E30"/>
    <mergeCell ref="G29:G30"/>
    <mergeCell ref="A29:A30"/>
    <mergeCell ref="B31:C31"/>
    <mergeCell ref="C37:D39"/>
    <mergeCell ref="B37:B39"/>
    <mergeCell ref="D60:J60"/>
    <mergeCell ref="I47:J47"/>
    <mergeCell ref="C40:D42"/>
    <mergeCell ref="I36:J36"/>
    <mergeCell ref="D54:J54"/>
    <mergeCell ref="D55:J56"/>
    <mergeCell ref="D61:J63"/>
    <mergeCell ref="G40:H40"/>
    <mergeCell ref="G39:H39"/>
    <mergeCell ref="A67:J67"/>
    <mergeCell ref="D52:J53"/>
    <mergeCell ref="H20:H22"/>
    <mergeCell ref="F35:F36"/>
    <mergeCell ref="B28:C28"/>
    <mergeCell ref="K3:L3"/>
    <mergeCell ref="B14:C14"/>
    <mergeCell ref="I14:J14"/>
    <mergeCell ref="H3:H4"/>
    <mergeCell ref="B3:C4"/>
    <mergeCell ref="A13:J13"/>
    <mergeCell ref="A3:A4"/>
    <mergeCell ref="D3:D4"/>
    <mergeCell ref="F3:F4"/>
    <mergeCell ref="G3:G4"/>
    <mergeCell ref="E3:E4"/>
    <mergeCell ref="I3:J3"/>
    <mergeCell ref="B5:C7"/>
    <mergeCell ref="B8:C11"/>
    <mergeCell ref="D47:D49"/>
    <mergeCell ref="F40:F42"/>
    <mergeCell ref="G38:H38"/>
    <mergeCell ref="H26:H27"/>
    <mergeCell ref="I23:J23"/>
    <mergeCell ref="I18:J18"/>
    <mergeCell ref="A65:J65"/>
    <mergeCell ref="A66:J66"/>
    <mergeCell ref="E26:E27"/>
    <mergeCell ref="G26:G27"/>
    <mergeCell ref="I26:J26"/>
    <mergeCell ref="I27:J27"/>
    <mergeCell ref="I29:J29"/>
    <mergeCell ref="I30:J30"/>
    <mergeCell ref="I48:J48"/>
    <mergeCell ref="I49:J49"/>
    <mergeCell ref="I41:J41"/>
    <mergeCell ref="E47:E49"/>
    <mergeCell ref="A37:A39"/>
    <mergeCell ref="A40:A42"/>
    <mergeCell ref="B40:B42"/>
    <mergeCell ref="A60:C60"/>
    <mergeCell ref="C47:C49"/>
    <mergeCell ref="I37:J37"/>
    <mergeCell ref="E35:E36"/>
    <mergeCell ref="A44:J44"/>
    <mergeCell ref="G42:H42"/>
    <mergeCell ref="F37:F39"/>
    <mergeCell ref="I42:J42"/>
    <mergeCell ref="I40:J40"/>
    <mergeCell ref="I39:J39"/>
    <mergeCell ref="G37:H37"/>
    <mergeCell ref="I38:J38"/>
    <mergeCell ref="B26:C27"/>
    <mergeCell ref="B17:B24"/>
    <mergeCell ref="A26:A27"/>
    <mergeCell ref="B32:C32"/>
    <mergeCell ref="I32:J32"/>
    <mergeCell ref="H23:H24"/>
    <mergeCell ref="C20:C22"/>
    <mergeCell ref="I25:J25"/>
    <mergeCell ref="C23:C24"/>
    <mergeCell ref="A34:J34"/>
    <mergeCell ref="I35:J35"/>
    <mergeCell ref="A35:A36"/>
    <mergeCell ref="B35:B36"/>
    <mergeCell ref="C35:D36"/>
    <mergeCell ref="G35:H36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34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HJ77"/>
  <sheetViews>
    <sheetView showGridLines="0" zoomScale="55" zoomScaleNormal="55" zoomScaleSheetLayoutView="50" zoomScalePageLayoutView="55" workbookViewId="0">
      <selection activeCell="N2" sqref="N2"/>
    </sheetView>
  </sheetViews>
  <sheetFormatPr defaultColWidth="8.7109375" defaultRowHeight="15" x14ac:dyDescent="0.25"/>
  <cols>
    <col min="1" max="1" width="38" style="30" customWidth="1"/>
    <col min="2" max="3" width="15.7109375" style="30" customWidth="1"/>
    <col min="4" max="4" width="25.7109375" style="30" customWidth="1"/>
    <col min="5" max="7" width="15.7109375" style="30" customWidth="1"/>
    <col min="8" max="8" width="20.7109375" style="30" customWidth="1"/>
    <col min="9" max="9" width="18.7109375" style="30" customWidth="1"/>
    <col min="10" max="11" width="20.7109375" style="30" customWidth="1"/>
    <col min="12" max="14" width="18.7109375" style="30" customWidth="1"/>
    <col min="15" max="15" width="13.42578125" style="428" hidden="1" customWidth="1"/>
    <col min="16" max="16" width="7.140625" style="30" customWidth="1"/>
    <col min="17" max="16384" width="8.7109375" style="30"/>
  </cols>
  <sheetData>
    <row r="1" spans="1:218" ht="75.75" customHeight="1" x14ac:dyDescent="0.4">
      <c r="B1" s="34"/>
      <c r="C1" s="34"/>
      <c r="D1" s="34"/>
      <c r="F1" s="767"/>
      <c r="G1" s="767"/>
      <c r="H1" s="767"/>
      <c r="I1" s="767"/>
      <c r="J1" s="767"/>
      <c r="K1" s="34"/>
      <c r="O1" s="468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</row>
    <row r="2" spans="1:218" ht="33" customHeight="1" x14ac:dyDescent="0.35">
      <c r="A2" s="33"/>
      <c r="B2" s="33"/>
      <c r="C2" s="33"/>
      <c r="E2" s="1800" t="s">
        <v>582</v>
      </c>
      <c r="F2" s="1800"/>
      <c r="G2" s="1800"/>
      <c r="H2" s="1800"/>
      <c r="I2" s="1800"/>
      <c r="J2" s="1800"/>
      <c r="K2" s="1800"/>
      <c r="M2" s="67" t="s">
        <v>132</v>
      </c>
      <c r="N2" s="348">
        <f>'Панельные ограждения GL (стр.1)'!N2</f>
        <v>46197</v>
      </c>
      <c r="O2" s="469"/>
    </row>
    <row r="3" spans="1:218" ht="50.1" customHeight="1" x14ac:dyDescent="0.25">
      <c r="A3" s="223" t="s">
        <v>76</v>
      </c>
      <c r="B3" s="1801" t="s">
        <v>71</v>
      </c>
      <c r="C3" s="1802"/>
      <c r="D3" s="1802"/>
      <c r="E3" s="1802"/>
      <c r="F3" s="1802"/>
      <c r="G3" s="1803"/>
      <c r="H3" s="1804" t="s">
        <v>32</v>
      </c>
      <c r="I3" s="1805"/>
      <c r="J3" s="223" t="s">
        <v>33</v>
      </c>
      <c r="K3" s="1806" t="s">
        <v>80</v>
      </c>
      <c r="L3" s="1806"/>
      <c r="M3" s="1807" t="s">
        <v>372</v>
      </c>
      <c r="N3" s="1808"/>
      <c r="O3" s="656"/>
    </row>
    <row r="4" spans="1:218" ht="50.1" customHeight="1" x14ac:dyDescent="0.25">
      <c r="A4" s="1879"/>
      <c r="B4" s="1832" t="s">
        <v>619</v>
      </c>
      <c r="C4" s="1833"/>
      <c r="D4" s="1833"/>
      <c r="E4" s="1833"/>
      <c r="F4" s="1897" t="s">
        <v>739</v>
      </c>
      <c r="G4" s="1898"/>
      <c r="H4" s="1826" t="s">
        <v>575</v>
      </c>
      <c r="I4" s="1827"/>
      <c r="J4" s="728">
        <v>25.65</v>
      </c>
      <c r="K4" s="1826" t="s">
        <v>123</v>
      </c>
      <c r="L4" s="1827"/>
      <c r="M4" s="1828">
        <f>ROUND(O4*BelarusV_LFpe*(1-$B$51),2)</f>
        <v>18254</v>
      </c>
      <c r="N4" s="1829"/>
      <c r="O4" s="655">
        <v>18254</v>
      </c>
    </row>
    <row r="5" spans="1:218" ht="24.95" customHeight="1" x14ac:dyDescent="0.25">
      <c r="A5" s="1841"/>
      <c r="B5" s="1835"/>
      <c r="C5" s="1836"/>
      <c r="D5" s="1836"/>
      <c r="E5" s="1836"/>
      <c r="F5" s="1853"/>
      <c r="G5" s="1854"/>
      <c r="H5" s="1916" t="s">
        <v>620</v>
      </c>
      <c r="I5" s="1917"/>
      <c r="J5" s="1920">
        <v>29.64</v>
      </c>
      <c r="K5" s="1916" t="s">
        <v>123</v>
      </c>
      <c r="L5" s="1917"/>
      <c r="M5" s="1914" t="s">
        <v>761</v>
      </c>
      <c r="N5" s="1915"/>
      <c r="O5" s="655"/>
    </row>
    <row r="6" spans="1:218" ht="50.1" customHeight="1" x14ac:dyDescent="0.25">
      <c r="A6" s="1842"/>
      <c r="B6" s="1838"/>
      <c r="C6" s="1839"/>
      <c r="D6" s="1839"/>
      <c r="E6" s="1839"/>
      <c r="F6" s="1855"/>
      <c r="G6" s="1856"/>
      <c r="H6" s="1918"/>
      <c r="I6" s="1919"/>
      <c r="J6" s="1921"/>
      <c r="K6" s="1918"/>
      <c r="L6" s="1919"/>
      <c r="M6" s="1830">
        <f>ROUND(O6*BelarusV_LFpe*(1-$B$51),2)</f>
        <v>8216</v>
      </c>
      <c r="N6" s="1831"/>
      <c r="O6" s="655">
        <v>8216</v>
      </c>
    </row>
    <row r="7" spans="1:218" ht="24.95" customHeight="1" x14ac:dyDescent="0.25">
      <c r="A7" s="897"/>
      <c r="B7" s="1832" t="s">
        <v>618</v>
      </c>
      <c r="C7" s="1833"/>
      <c r="D7" s="1833"/>
      <c r="E7" s="1834"/>
      <c r="F7" s="1897" t="s">
        <v>739</v>
      </c>
      <c r="G7" s="1898"/>
      <c r="H7" s="1916" t="s">
        <v>617</v>
      </c>
      <c r="I7" s="1917"/>
      <c r="J7" s="1922">
        <v>29.71</v>
      </c>
      <c r="K7" s="1916" t="s">
        <v>123</v>
      </c>
      <c r="L7" s="1917"/>
      <c r="M7" s="1914" t="s">
        <v>761</v>
      </c>
      <c r="N7" s="1915"/>
      <c r="O7" s="655"/>
    </row>
    <row r="8" spans="1:218" ht="50.1" customHeight="1" x14ac:dyDescent="0.25">
      <c r="A8" s="1841"/>
      <c r="B8" s="1835"/>
      <c r="C8" s="1836"/>
      <c r="D8" s="1836"/>
      <c r="E8" s="1837"/>
      <c r="F8" s="1853"/>
      <c r="G8" s="1854"/>
      <c r="H8" s="1918"/>
      <c r="I8" s="1919"/>
      <c r="J8" s="1923"/>
      <c r="K8" s="1918"/>
      <c r="L8" s="1919"/>
      <c r="M8" s="1830">
        <f>ROUND(O8*BelarusV_LFpe*(1-$B$51),2)</f>
        <v>11235</v>
      </c>
      <c r="N8" s="1831"/>
      <c r="O8" s="655">
        <v>11235</v>
      </c>
    </row>
    <row r="9" spans="1:218" ht="50.1" customHeight="1" thickBot="1" x14ac:dyDescent="0.3">
      <c r="A9" s="1842"/>
      <c r="B9" s="1838"/>
      <c r="C9" s="1839"/>
      <c r="D9" s="1839"/>
      <c r="E9" s="1840"/>
      <c r="F9" s="1855"/>
      <c r="G9" s="1856"/>
      <c r="H9" s="1826" t="s">
        <v>574</v>
      </c>
      <c r="I9" s="1827"/>
      <c r="J9" s="728">
        <v>43.69</v>
      </c>
      <c r="K9" s="1826" t="s">
        <v>123</v>
      </c>
      <c r="L9" s="1827"/>
      <c r="M9" s="1828">
        <f>ROUND(O9*BelarusV_LFpe*(1-$B$51),2)</f>
        <v>25072</v>
      </c>
      <c r="N9" s="1829"/>
      <c r="O9" s="655">
        <v>25072</v>
      </c>
    </row>
    <row r="10" spans="1:218" ht="60" hidden="1" customHeight="1" x14ac:dyDescent="0.25">
      <c r="A10" s="1809"/>
      <c r="B10" s="1819" t="s">
        <v>577</v>
      </c>
      <c r="C10" s="1820"/>
      <c r="D10" s="1820"/>
      <c r="E10" s="1820"/>
      <c r="F10" s="1820"/>
      <c r="G10" s="1821"/>
      <c r="H10" s="1813" t="s">
        <v>573</v>
      </c>
      <c r="I10" s="1814"/>
      <c r="J10" s="754">
        <v>3.82</v>
      </c>
      <c r="K10" s="1813" t="s">
        <v>123</v>
      </c>
      <c r="L10" s="1814"/>
      <c r="M10" s="1811">
        <f>ROUND(O10*BelarusV*(1-$B$51),2)</f>
        <v>23993</v>
      </c>
      <c r="N10" s="1812"/>
      <c r="O10" s="655">
        <v>23993</v>
      </c>
    </row>
    <row r="11" spans="1:218" ht="60" hidden="1" customHeight="1" x14ac:dyDescent="0.25">
      <c r="A11" s="1825"/>
      <c r="B11" s="1822"/>
      <c r="C11" s="1823"/>
      <c r="D11" s="1823"/>
      <c r="E11" s="1823"/>
      <c r="F11" s="1823"/>
      <c r="G11" s="1824"/>
      <c r="H11" s="1813" t="s">
        <v>574</v>
      </c>
      <c r="I11" s="1814"/>
      <c r="J11" s="754">
        <v>41.57</v>
      </c>
      <c r="K11" s="1813" t="s">
        <v>123</v>
      </c>
      <c r="L11" s="1814"/>
      <c r="M11" s="1811">
        <f>ROUND(O11*BelarusV*(1-$B$51),2)</f>
        <v>25915</v>
      </c>
      <c r="N11" s="1812"/>
      <c r="O11" s="655">
        <v>25915</v>
      </c>
    </row>
    <row r="12" spans="1:218" ht="50.1" hidden="1" customHeight="1" x14ac:dyDescent="0.25">
      <c r="A12" s="1809"/>
      <c r="B12" s="1819" t="s">
        <v>578</v>
      </c>
      <c r="C12" s="1820"/>
      <c r="D12" s="1820"/>
      <c r="E12" s="1820"/>
      <c r="F12" s="1820"/>
      <c r="G12" s="1821"/>
      <c r="H12" s="1813" t="s">
        <v>575</v>
      </c>
      <c r="I12" s="1814"/>
      <c r="J12" s="754">
        <v>25.54</v>
      </c>
      <c r="K12" s="1813" t="s">
        <v>123</v>
      </c>
      <c r="L12" s="1814"/>
      <c r="M12" s="1811">
        <f>ROUND(O12*BelarusV*(1-$B$51),2)</f>
        <v>17204</v>
      </c>
      <c r="N12" s="1812"/>
      <c r="O12" s="655">
        <v>17204</v>
      </c>
    </row>
    <row r="13" spans="1:218" ht="50.1" hidden="1" customHeight="1" x14ac:dyDescent="0.25">
      <c r="A13" s="1810"/>
      <c r="B13" s="1883"/>
      <c r="C13" s="1884"/>
      <c r="D13" s="1884"/>
      <c r="E13" s="1884"/>
      <c r="F13" s="1884"/>
      <c r="G13" s="1885"/>
      <c r="H13" s="1815" t="s">
        <v>572</v>
      </c>
      <c r="I13" s="1816"/>
      <c r="J13" s="754">
        <v>31.53</v>
      </c>
      <c r="K13" s="1815" t="s">
        <v>123</v>
      </c>
      <c r="L13" s="1816"/>
      <c r="M13" s="1817">
        <f>ROUND(O13*BelarusV*(1-$B$51),2)</f>
        <v>18921</v>
      </c>
      <c r="N13" s="1818"/>
      <c r="O13" s="655">
        <v>18921</v>
      </c>
    </row>
    <row r="14" spans="1:218" ht="60" customHeight="1" x14ac:dyDescent="0.25">
      <c r="A14" s="1857"/>
      <c r="B14" s="1859" t="s">
        <v>758</v>
      </c>
      <c r="C14" s="1860"/>
      <c r="D14" s="1860"/>
      <c r="E14" s="1860"/>
      <c r="F14" s="1860"/>
      <c r="G14" s="1861"/>
      <c r="H14" s="1865" t="s">
        <v>603</v>
      </c>
      <c r="I14" s="1866"/>
      <c r="J14" s="1869">
        <v>13.5</v>
      </c>
      <c r="K14" s="1865" t="s">
        <v>123</v>
      </c>
      <c r="L14" s="1866"/>
      <c r="M14" s="1871">
        <f>ROUND(O14*BelarusV*(1-$B$51),2)</f>
        <v>7334</v>
      </c>
      <c r="N14" s="1872"/>
      <c r="O14" s="655">
        <v>7334</v>
      </c>
    </row>
    <row r="15" spans="1:218" ht="60" customHeight="1" thickBot="1" x14ac:dyDescent="0.3">
      <c r="A15" s="1858"/>
      <c r="B15" s="1862"/>
      <c r="C15" s="1863"/>
      <c r="D15" s="1863"/>
      <c r="E15" s="1863"/>
      <c r="F15" s="1863"/>
      <c r="G15" s="1864"/>
      <c r="H15" s="1867"/>
      <c r="I15" s="1868"/>
      <c r="J15" s="1870"/>
      <c r="K15" s="1867"/>
      <c r="L15" s="1868"/>
      <c r="M15" s="1873"/>
      <c r="N15" s="1874"/>
      <c r="O15" s="655"/>
    </row>
    <row r="16" spans="1:218" ht="60" customHeight="1" x14ac:dyDescent="0.3">
      <c r="A16" s="1841"/>
      <c r="B16" s="1835" t="s">
        <v>576</v>
      </c>
      <c r="C16" s="1836"/>
      <c r="D16" s="1836"/>
      <c r="E16" s="1836"/>
      <c r="F16" s="1853" t="s">
        <v>739</v>
      </c>
      <c r="G16" s="1854"/>
      <c r="H16" s="1843" t="s">
        <v>364</v>
      </c>
      <c r="I16" s="1844"/>
      <c r="J16" s="1847">
        <v>13.3</v>
      </c>
      <c r="K16" s="1843">
        <v>29</v>
      </c>
      <c r="L16" s="1844"/>
      <c r="M16" s="1849">
        <f>ROUND(O16*BelarusV_Vzn*(1-$B$51),2)</f>
        <v>3938</v>
      </c>
      <c r="N16" s="1850">
        <f>ROUND(O16*BelarusV*(1-$B$51),2)</f>
        <v>3938</v>
      </c>
      <c r="O16" s="655">
        <v>3938</v>
      </c>
    </row>
    <row r="17" spans="1:16" ht="60" customHeight="1" x14ac:dyDescent="0.25">
      <c r="A17" s="1842"/>
      <c r="B17" s="1838"/>
      <c r="C17" s="1839"/>
      <c r="D17" s="1839"/>
      <c r="E17" s="1839"/>
      <c r="F17" s="1855"/>
      <c r="G17" s="1856"/>
      <c r="H17" s="1845"/>
      <c r="I17" s="1846"/>
      <c r="J17" s="1848"/>
      <c r="K17" s="1845"/>
      <c r="L17" s="1846"/>
      <c r="M17" s="1851" t="s">
        <v>550</v>
      </c>
      <c r="N17" s="1852"/>
      <c r="O17" s="655"/>
    </row>
    <row r="18" spans="1:16" ht="50.1" customHeight="1" x14ac:dyDescent="0.25">
      <c r="A18" s="1879"/>
      <c r="B18" s="1832" t="s">
        <v>334</v>
      </c>
      <c r="C18" s="1833"/>
      <c r="D18" s="1833"/>
      <c r="E18" s="1880" t="s">
        <v>257</v>
      </c>
      <c r="F18" s="1880"/>
      <c r="G18" s="1880"/>
      <c r="H18" s="1826" t="s">
        <v>255</v>
      </c>
      <c r="I18" s="1827"/>
      <c r="J18" s="380">
        <v>7</v>
      </c>
      <c r="K18" s="1880">
        <v>70</v>
      </c>
      <c r="L18" s="1880"/>
      <c r="M18" s="1877">
        <f>ROUND((N19*2+N18),0)</f>
        <v>3578</v>
      </c>
      <c r="N18" s="756">
        <f>ROUND(O18*BelarusV_Vzn*(1-$B$51),2)</f>
        <v>1880</v>
      </c>
      <c r="O18" s="655">
        <v>1880</v>
      </c>
      <c r="P18" s="335"/>
    </row>
    <row r="19" spans="1:16" ht="50.1" customHeight="1" x14ac:dyDescent="0.25">
      <c r="A19" s="1842"/>
      <c r="B19" s="1838"/>
      <c r="C19" s="1839"/>
      <c r="D19" s="1839"/>
      <c r="E19" s="1880" t="s">
        <v>258</v>
      </c>
      <c r="F19" s="1880"/>
      <c r="G19" s="1880"/>
      <c r="H19" s="1826" t="s">
        <v>256</v>
      </c>
      <c r="I19" s="1827"/>
      <c r="J19" s="380">
        <v>3.24</v>
      </c>
      <c r="K19" s="1880">
        <v>140</v>
      </c>
      <c r="L19" s="1880"/>
      <c r="M19" s="1877"/>
      <c r="N19" s="756">
        <f>ROUND(O19*BelarusV_Vzn*(1-$B$51),2)</f>
        <v>849</v>
      </c>
      <c r="O19" s="655">
        <v>849</v>
      </c>
      <c r="P19" s="335"/>
    </row>
    <row r="20" spans="1:16" ht="50.1" customHeight="1" x14ac:dyDescent="0.25">
      <c r="A20" s="1879"/>
      <c r="B20" s="1886" t="s">
        <v>571</v>
      </c>
      <c r="C20" s="1886"/>
      <c r="D20" s="1886"/>
      <c r="E20" s="1886"/>
      <c r="F20" s="1886"/>
      <c r="G20" s="1886"/>
      <c r="H20" s="1875" t="s">
        <v>521</v>
      </c>
      <c r="I20" s="1876"/>
      <c r="J20" s="380">
        <v>33</v>
      </c>
      <c r="K20" s="1877" t="s">
        <v>624</v>
      </c>
      <c r="L20" s="1877"/>
      <c r="M20" s="1878">
        <f>ROUND(O20*BelarusV*(1-$B$51),2)</f>
        <v>771</v>
      </c>
      <c r="N20" s="1878"/>
      <c r="O20" s="655">
        <v>771</v>
      </c>
      <c r="P20" s="335"/>
    </row>
    <row r="21" spans="1:16" ht="50.1" customHeight="1" x14ac:dyDescent="0.25">
      <c r="A21" s="1842"/>
      <c r="B21" s="1886" t="s">
        <v>1333</v>
      </c>
      <c r="C21" s="1886"/>
      <c r="D21" s="1886"/>
      <c r="E21" s="1886"/>
      <c r="F21" s="1886"/>
      <c r="G21" s="1886"/>
      <c r="H21" s="1875" t="s">
        <v>520</v>
      </c>
      <c r="I21" s="1876"/>
      <c r="J21" s="147">
        <v>32</v>
      </c>
      <c r="K21" s="1877">
        <v>52</v>
      </c>
      <c r="L21" s="1877"/>
      <c r="M21" s="1878">
        <f>ROUND(O21*BelarusV*(1-$B$51),2)</f>
        <v>932</v>
      </c>
      <c r="N21" s="1878"/>
      <c r="O21" s="655">
        <v>932</v>
      </c>
      <c r="P21" s="335"/>
    </row>
    <row r="22" spans="1:16" ht="50.1" customHeight="1" x14ac:dyDescent="0.25">
      <c r="A22" s="381"/>
      <c r="B22" s="1886" t="s">
        <v>570</v>
      </c>
      <c r="C22" s="1886"/>
      <c r="D22" s="1886"/>
      <c r="E22" s="1886"/>
      <c r="F22" s="1886"/>
      <c r="G22" s="1886"/>
      <c r="H22" s="1875" t="s">
        <v>389</v>
      </c>
      <c r="I22" s="1876"/>
      <c r="J22" s="147">
        <v>23</v>
      </c>
      <c r="K22" s="1828">
        <v>40</v>
      </c>
      <c r="L22" s="1829"/>
      <c r="M22" s="1878">
        <f>ROUND(O22*BelarusV*(1-$B$51),2)</f>
        <v>2363</v>
      </c>
      <c r="N22" s="1878"/>
      <c r="O22" s="655">
        <v>2363</v>
      </c>
      <c r="P22" s="335"/>
    </row>
    <row r="23" spans="1:16" ht="50.1" customHeight="1" x14ac:dyDescent="0.25">
      <c r="A23" s="369"/>
      <c r="B23" s="1886" t="s">
        <v>650</v>
      </c>
      <c r="C23" s="1886"/>
      <c r="D23" s="1886"/>
      <c r="E23" s="1886"/>
      <c r="F23" s="1886"/>
      <c r="G23" s="1886"/>
      <c r="H23" s="1875" t="s">
        <v>326</v>
      </c>
      <c r="I23" s="1876"/>
      <c r="J23" s="147">
        <v>1.36</v>
      </c>
      <c r="K23" s="1828">
        <v>200</v>
      </c>
      <c r="L23" s="1829"/>
      <c r="M23" s="1878">
        <f>ROUND(O23*BelarusV_Vzn*(1-$B$51),2)</f>
        <v>517</v>
      </c>
      <c r="N23" s="1878"/>
      <c r="O23" s="655">
        <v>517</v>
      </c>
      <c r="P23" s="335"/>
    </row>
    <row r="24" spans="1:16" ht="30" customHeight="1" x14ac:dyDescent="0.25">
      <c r="A24" s="1899"/>
      <c r="B24" s="1832" t="s">
        <v>735</v>
      </c>
      <c r="C24" s="1833"/>
      <c r="D24" s="1833"/>
      <c r="E24" s="1833"/>
      <c r="F24" s="1833"/>
      <c r="G24" s="1901"/>
      <c r="H24" s="1903" t="s">
        <v>569</v>
      </c>
      <c r="I24" s="1904"/>
      <c r="J24" s="1895">
        <v>2.64</v>
      </c>
      <c r="K24" s="1907" t="s">
        <v>18</v>
      </c>
      <c r="L24" s="1908"/>
      <c r="M24" s="878" t="s">
        <v>177</v>
      </c>
      <c r="N24" s="879">
        <f>ROUND(O24*BelarusV_Vzn*(1-$B$51),2)</f>
        <v>1623</v>
      </c>
      <c r="O24" s="655">
        <v>1623</v>
      </c>
      <c r="P24" s="335"/>
    </row>
    <row r="25" spans="1:16" ht="30" customHeight="1" x14ac:dyDescent="0.25">
      <c r="A25" s="1900"/>
      <c r="B25" s="1838"/>
      <c r="C25" s="1839"/>
      <c r="D25" s="1839"/>
      <c r="E25" s="1839"/>
      <c r="F25" s="1839"/>
      <c r="G25" s="1902"/>
      <c r="H25" s="1905"/>
      <c r="I25" s="1906"/>
      <c r="J25" s="1896"/>
      <c r="K25" s="1909"/>
      <c r="L25" s="1910"/>
      <c r="M25" s="881" t="s">
        <v>568</v>
      </c>
      <c r="N25" s="882">
        <f>ROUND(O25*BelarusV_LFpe*(1-$B$51),2)</f>
        <v>1829</v>
      </c>
      <c r="O25" s="655">
        <v>1829</v>
      </c>
      <c r="P25" s="335"/>
    </row>
    <row r="26" spans="1:16" ht="36.950000000000003" customHeight="1" x14ac:dyDescent="0.25">
      <c r="A26" s="1911"/>
      <c r="B26" s="1832" t="s">
        <v>647</v>
      </c>
      <c r="C26" s="1833"/>
      <c r="D26" s="1833"/>
      <c r="E26" s="1833"/>
      <c r="F26" s="1833"/>
      <c r="G26" s="1901"/>
      <c r="H26" s="1903" t="s">
        <v>18</v>
      </c>
      <c r="I26" s="1904"/>
      <c r="J26" s="1895">
        <v>0.32</v>
      </c>
      <c r="K26" s="1907">
        <v>58</v>
      </c>
      <c r="L26" s="1908"/>
      <c r="M26" s="878" t="s">
        <v>177</v>
      </c>
      <c r="N26" s="906">
        <f>ROUND(O26*BelarusV_Vzn*(1-$B$51),2)</f>
        <v>99</v>
      </c>
      <c r="O26" s="655">
        <v>99</v>
      </c>
      <c r="P26" s="335"/>
    </row>
    <row r="27" spans="1:16" ht="36.950000000000003" customHeight="1" x14ac:dyDescent="0.25">
      <c r="A27" s="1912"/>
      <c r="B27" s="1838"/>
      <c r="C27" s="1839"/>
      <c r="D27" s="1839"/>
      <c r="E27" s="1839"/>
      <c r="F27" s="1839"/>
      <c r="G27" s="1902"/>
      <c r="H27" s="1905"/>
      <c r="I27" s="1906"/>
      <c r="J27" s="1896"/>
      <c r="K27" s="1909"/>
      <c r="L27" s="1910"/>
      <c r="M27" s="881" t="s">
        <v>568</v>
      </c>
      <c r="N27" s="907">
        <f>ROUND(O27*BelarusV_LFpe*(1-$B$51),2)</f>
        <v>287</v>
      </c>
      <c r="O27" s="655">
        <v>287</v>
      </c>
      <c r="P27" s="335"/>
    </row>
    <row r="28" spans="1:16" ht="75" customHeight="1" x14ac:dyDescent="0.25">
      <c r="A28" s="877"/>
      <c r="B28" s="1888" t="s">
        <v>648</v>
      </c>
      <c r="C28" s="1889"/>
      <c r="D28" s="1889"/>
      <c r="E28" s="1889"/>
      <c r="F28" s="1889"/>
      <c r="G28" s="1890"/>
      <c r="H28" s="1875" t="s">
        <v>18</v>
      </c>
      <c r="I28" s="1876"/>
      <c r="J28" s="880">
        <v>0.34</v>
      </c>
      <c r="K28" s="1828">
        <v>58</v>
      </c>
      <c r="L28" s="1829"/>
      <c r="M28" s="908" t="s">
        <v>568</v>
      </c>
      <c r="N28" s="909">
        <f>ROUND(O28*BelarusV_LFpe*(1-$B$51),2)</f>
        <v>287</v>
      </c>
      <c r="O28" s="655">
        <v>287</v>
      </c>
      <c r="P28" s="335"/>
    </row>
    <row r="29" spans="1:16" ht="50.1" customHeight="1" x14ac:dyDescent="0.25">
      <c r="A29" s="148"/>
      <c r="B29" s="1888" t="s">
        <v>549</v>
      </c>
      <c r="C29" s="1889"/>
      <c r="D29" s="1889"/>
      <c r="E29" s="1889"/>
      <c r="F29" s="1889"/>
      <c r="G29" s="1890"/>
      <c r="H29" s="1875" t="s">
        <v>18</v>
      </c>
      <c r="I29" s="1876"/>
      <c r="J29" s="147" t="s">
        <v>18</v>
      </c>
      <c r="K29" s="1877" t="s">
        <v>18</v>
      </c>
      <c r="L29" s="1877"/>
      <c r="M29" s="1878">
        <f>ROUND(O29*BelarusV_Vzn*(1-$B$51),2)</f>
        <v>99</v>
      </c>
      <c r="N29" s="1878"/>
      <c r="O29" s="655">
        <v>99</v>
      </c>
      <c r="P29" s="335"/>
    </row>
    <row r="30" spans="1:16" ht="99.95" customHeight="1" x14ac:dyDescent="0.25">
      <c r="A30" s="1845"/>
      <c r="B30" s="1887"/>
      <c r="C30" s="1846"/>
      <c r="D30" s="1888" t="s">
        <v>579</v>
      </c>
      <c r="E30" s="1889"/>
      <c r="F30" s="1889"/>
      <c r="G30" s="1890"/>
      <c r="H30" s="755" t="s">
        <v>391</v>
      </c>
      <c r="I30" s="1891" t="s">
        <v>526</v>
      </c>
      <c r="J30" s="1892"/>
      <c r="K30" s="1892"/>
      <c r="L30" s="1893"/>
      <c r="M30" s="1793">
        <f>ROUND(O30*BelarusV_Vzn*(1-$B$51),2)</f>
        <v>33611</v>
      </c>
      <c r="N30" s="1794"/>
      <c r="O30" s="655">
        <v>33611</v>
      </c>
      <c r="P30" s="335"/>
    </row>
    <row r="31" spans="1:16" ht="99.95" customHeight="1" x14ac:dyDescent="0.25">
      <c r="A31" s="1826"/>
      <c r="B31" s="1894"/>
      <c r="C31" s="1827"/>
      <c r="D31" s="1888" t="s">
        <v>725</v>
      </c>
      <c r="E31" s="1889"/>
      <c r="F31" s="1889"/>
      <c r="G31" s="1890"/>
      <c r="H31" s="755" t="s">
        <v>726</v>
      </c>
      <c r="I31" s="1891" t="s">
        <v>745</v>
      </c>
      <c r="J31" s="1892"/>
      <c r="K31" s="1892"/>
      <c r="L31" s="1893"/>
      <c r="M31" s="1877">
        <f>ROUND(O31*BelarusV_Vzn*(1-$B$51),2)</f>
        <v>7896</v>
      </c>
      <c r="N31" s="1877">
        <f>ROUND(O31*BelarusV*(1-$B$51),2)</f>
        <v>7896</v>
      </c>
      <c r="O31" s="655">
        <v>7896</v>
      </c>
      <c r="P31" s="335"/>
    </row>
    <row r="32" spans="1:16" ht="110.1" customHeight="1" x14ac:dyDescent="0.25">
      <c r="A32" s="1886"/>
      <c r="B32" s="1886"/>
      <c r="C32" s="1886"/>
      <c r="D32" s="1886" t="s">
        <v>724</v>
      </c>
      <c r="E32" s="1886"/>
      <c r="F32" s="1886"/>
      <c r="G32" s="1886"/>
      <c r="H32" s="1880" t="s">
        <v>723</v>
      </c>
      <c r="I32" s="1880"/>
      <c r="J32" s="1880"/>
      <c r="K32" s="1880" t="s">
        <v>377</v>
      </c>
      <c r="L32" s="1880"/>
      <c r="M32" s="1877">
        <f>ROUND(O32*BelarusV_Vzn*(1-$B$51),2)</f>
        <v>2112</v>
      </c>
      <c r="N32" s="1877">
        <f>ROUND(O32*BelarusV*(1-$B$51),2)</f>
        <v>2112</v>
      </c>
      <c r="O32" s="655">
        <v>2112</v>
      </c>
      <c r="P32" s="335"/>
    </row>
    <row r="33" spans="1:16" ht="9.9499999999999993" customHeight="1" x14ac:dyDescent="0.35">
      <c r="A33" s="714"/>
      <c r="B33" s="714"/>
      <c r="C33" s="714"/>
      <c r="D33" s="714"/>
      <c r="E33" s="714"/>
      <c r="F33" s="714"/>
      <c r="G33" s="714"/>
      <c r="H33" s="714"/>
      <c r="I33" s="714"/>
      <c r="J33" s="714"/>
      <c r="K33" s="714"/>
      <c r="L33" s="714"/>
      <c r="M33" s="714"/>
      <c r="N33" s="40"/>
      <c r="P33" s="335"/>
    </row>
    <row r="34" spans="1:16" ht="24.95" customHeight="1" x14ac:dyDescent="0.25">
      <c r="A34" s="18" t="s">
        <v>162</v>
      </c>
      <c r="B34" s="274"/>
      <c r="C34" s="274"/>
      <c r="D34" s="274"/>
      <c r="E34" s="1913" t="s">
        <v>762</v>
      </c>
      <c r="F34" s="1913"/>
      <c r="G34" s="1913"/>
      <c r="H34" s="1913"/>
      <c r="I34" s="1924" t="s">
        <v>581</v>
      </c>
      <c r="J34" s="1924"/>
      <c r="K34" s="1924"/>
      <c r="L34" s="1924"/>
      <c r="M34" s="1924"/>
      <c r="N34" s="1924"/>
      <c r="O34" s="399"/>
      <c r="P34" s="335"/>
    </row>
    <row r="35" spans="1:16" ht="24.95" customHeight="1" x14ac:dyDescent="0.25">
      <c r="A35" s="18" t="s">
        <v>580</v>
      </c>
      <c r="B35" s="399"/>
      <c r="C35" s="399"/>
      <c r="D35" s="399"/>
      <c r="E35" s="1913"/>
      <c r="F35" s="1913"/>
      <c r="G35" s="1913"/>
      <c r="H35" s="1913"/>
      <c r="I35" s="1924"/>
      <c r="J35" s="1924"/>
      <c r="K35" s="1924"/>
      <c r="L35" s="1924"/>
      <c r="M35" s="1924"/>
      <c r="N35" s="1924"/>
      <c r="O35" s="499"/>
      <c r="P35" s="335"/>
    </row>
    <row r="36" spans="1:16" ht="15" customHeight="1" x14ac:dyDescent="0.25">
      <c r="A36" s="48"/>
      <c r="B36" s="48"/>
      <c r="C36" s="48"/>
      <c r="D36" s="274"/>
      <c r="E36" s="274"/>
      <c r="F36" s="500"/>
      <c r="H36" s="399"/>
      <c r="I36" s="399"/>
      <c r="J36" s="399"/>
      <c r="K36" s="399"/>
      <c r="L36" s="399"/>
      <c r="M36" s="399"/>
      <c r="N36" s="399"/>
      <c r="O36" s="499"/>
      <c r="P36" s="335"/>
    </row>
    <row r="37" spans="1:16" ht="30" customHeight="1" x14ac:dyDescent="0.25">
      <c r="A37" s="1708" t="s">
        <v>553</v>
      </c>
      <c r="B37" s="1594"/>
      <c r="C37" s="1594"/>
      <c r="D37" s="1594"/>
      <c r="E37" s="1594"/>
      <c r="F37" s="1594"/>
      <c r="G37" s="1594"/>
      <c r="H37" s="1594"/>
      <c r="I37" s="1594"/>
      <c r="J37" s="1594"/>
      <c r="K37" s="1594"/>
      <c r="L37" s="1594"/>
      <c r="M37" s="1594"/>
      <c r="N37" s="1709"/>
      <c r="O37" s="499"/>
      <c r="P37" s="335"/>
    </row>
    <row r="38" spans="1:16" ht="50.1" customHeight="1" x14ac:dyDescent="0.25">
      <c r="A38" s="1323" t="s">
        <v>554</v>
      </c>
      <c r="B38" s="1574"/>
      <c r="C38" s="1574"/>
      <c r="D38" s="1574"/>
      <c r="E38" s="1574"/>
      <c r="F38" s="1574"/>
      <c r="G38" s="1574"/>
      <c r="H38" s="1574"/>
      <c r="I38" s="1574"/>
      <c r="J38" s="1574"/>
      <c r="K38" s="1574"/>
      <c r="L38" s="1574"/>
      <c r="M38" s="1574"/>
      <c r="N38" s="1324"/>
      <c r="O38" s="499"/>
      <c r="P38" s="335"/>
    </row>
    <row r="39" spans="1:16" ht="60" customHeight="1" x14ac:dyDescent="0.25">
      <c r="A39" s="1576" t="s">
        <v>555</v>
      </c>
      <c r="B39" s="1577"/>
      <c r="C39" s="1577"/>
      <c r="D39" s="1577"/>
      <c r="E39" s="1577"/>
      <c r="F39" s="1577"/>
      <c r="G39" s="1577"/>
      <c r="H39" s="1577"/>
      <c r="I39" s="1577"/>
      <c r="J39" s="1577"/>
      <c r="K39" s="1577"/>
      <c r="L39" s="1577"/>
      <c r="M39" s="1577"/>
      <c r="N39" s="1578"/>
      <c r="O39" s="499"/>
      <c r="P39" s="335"/>
    </row>
    <row r="40" spans="1:16" ht="60" customHeight="1" x14ac:dyDescent="0.25">
      <c r="A40" s="744"/>
      <c r="B40" s="744"/>
      <c r="C40" s="744"/>
      <c r="D40" s="744"/>
      <c r="E40" s="744"/>
      <c r="F40" s="744"/>
      <c r="G40" s="744"/>
      <c r="H40" s="744"/>
      <c r="I40" s="744"/>
      <c r="K40" s="744"/>
      <c r="L40" s="744"/>
      <c r="O40" s="499"/>
      <c r="P40" s="335"/>
    </row>
    <row r="41" spans="1:16" ht="60" customHeight="1" x14ac:dyDescent="0.25">
      <c r="A41" s="744"/>
      <c r="B41" s="744"/>
      <c r="C41" s="744"/>
      <c r="D41" s="744"/>
      <c r="E41" s="744"/>
      <c r="F41" s="744"/>
      <c r="G41" s="744"/>
      <c r="H41" s="744"/>
      <c r="I41" s="744"/>
      <c r="K41" s="1583" t="s">
        <v>842</v>
      </c>
      <c r="L41" s="1583"/>
      <c r="M41" s="1583"/>
      <c r="N41" s="1583"/>
      <c r="O41" s="499"/>
      <c r="P41" s="335"/>
    </row>
    <row r="42" spans="1:16" ht="60" customHeight="1" x14ac:dyDescent="0.25">
      <c r="A42" s="744"/>
      <c r="B42" s="744"/>
      <c r="C42" s="744"/>
      <c r="D42" s="744"/>
      <c r="E42" s="744"/>
      <c r="F42" s="744"/>
      <c r="G42" s="744"/>
      <c r="H42" s="744"/>
      <c r="I42" s="744"/>
      <c r="J42" s="41"/>
      <c r="K42" s="41"/>
      <c r="L42" s="744"/>
      <c r="M42" s="744"/>
      <c r="N42" s="744"/>
      <c r="O42" s="499"/>
      <c r="P42" s="335"/>
    </row>
    <row r="43" spans="1:16" ht="60" customHeight="1" x14ac:dyDescent="0.25">
      <c r="A43" s="744"/>
      <c r="B43" s="744"/>
      <c r="C43" s="744"/>
      <c r="D43" s="744"/>
      <c r="E43" s="744"/>
      <c r="F43" s="744"/>
      <c r="G43" s="744"/>
      <c r="H43" s="744"/>
      <c r="I43" s="744"/>
      <c r="J43" s="744"/>
      <c r="O43" s="499"/>
      <c r="P43" s="335"/>
    </row>
    <row r="44" spans="1:16" ht="60" customHeight="1" x14ac:dyDescent="0.25">
      <c r="A44" s="744"/>
      <c r="B44" s="744"/>
      <c r="C44" s="744"/>
      <c r="D44" s="744"/>
      <c r="E44" s="744"/>
      <c r="F44" s="744"/>
      <c r="G44" s="744"/>
      <c r="H44" s="744"/>
      <c r="I44" s="744"/>
      <c r="L44" s="399"/>
      <c r="M44" s="399"/>
      <c r="N44" s="399"/>
      <c r="O44" s="499"/>
      <c r="P44" s="335"/>
    </row>
    <row r="45" spans="1:16" ht="60" customHeight="1" x14ac:dyDescent="0.25">
      <c r="A45" s="744"/>
      <c r="B45" s="744"/>
      <c r="C45" s="744"/>
      <c r="D45" s="744"/>
      <c r="E45" s="744"/>
      <c r="F45" s="744"/>
      <c r="G45" s="744"/>
      <c r="H45" s="744"/>
      <c r="I45" s="744"/>
      <c r="K45" s="1799" t="s">
        <v>759</v>
      </c>
      <c r="L45" s="1799"/>
      <c r="M45" s="1799"/>
      <c r="N45" s="1799"/>
      <c r="O45" s="499"/>
      <c r="P45" s="335"/>
    </row>
    <row r="46" spans="1:16" ht="60" customHeight="1" x14ac:dyDescent="0.25">
      <c r="A46" s="744"/>
      <c r="B46" s="744"/>
      <c r="C46" s="744"/>
      <c r="D46" s="744"/>
      <c r="E46" s="744"/>
      <c r="F46" s="744"/>
      <c r="G46" s="744"/>
      <c r="H46" s="744"/>
      <c r="I46" s="744"/>
      <c r="O46" s="499"/>
      <c r="P46" s="335"/>
    </row>
    <row r="47" spans="1:16" ht="60" customHeight="1" x14ac:dyDescent="0.25">
      <c r="A47" s="744"/>
      <c r="B47" s="744"/>
      <c r="C47" s="744"/>
      <c r="D47" s="744"/>
      <c r="E47" s="744"/>
      <c r="F47" s="744"/>
      <c r="G47" s="744"/>
      <c r="H47" s="744"/>
      <c r="I47" s="744"/>
      <c r="J47" s="744"/>
      <c r="K47" s="744"/>
      <c r="L47" s="744"/>
      <c r="M47" s="744"/>
      <c r="N47" s="744"/>
      <c r="O47" s="499"/>
      <c r="P47" s="335"/>
    </row>
    <row r="48" spans="1:16" ht="21.95" customHeight="1" x14ac:dyDescent="0.35">
      <c r="A48" s="40"/>
      <c r="B48" s="40"/>
      <c r="C48" s="40"/>
      <c r="D48" s="40"/>
      <c r="E48" s="40"/>
      <c r="F48" s="40"/>
      <c r="G48" s="40"/>
      <c r="H48" s="40"/>
      <c r="O48" s="470"/>
    </row>
    <row r="49" spans="1:15" ht="21.95" customHeight="1" x14ac:dyDescent="0.35">
      <c r="A49" s="18"/>
      <c r="B49" s="40"/>
      <c r="C49" s="40"/>
      <c r="D49" s="40"/>
      <c r="E49" s="40"/>
      <c r="G49" s="40"/>
      <c r="H49" s="40"/>
      <c r="I49" s="40"/>
      <c r="J49" s="40"/>
      <c r="K49" s="40"/>
      <c r="L49" s="40"/>
      <c r="M49" s="40"/>
      <c r="N49" s="40"/>
      <c r="O49" s="470"/>
    </row>
    <row r="50" spans="1:15" ht="45" customHeight="1" x14ac:dyDescent="0.25">
      <c r="A50" s="1437" t="s">
        <v>26</v>
      </c>
      <c r="B50" s="1881" t="s">
        <v>65</v>
      </c>
      <c r="C50" s="1881"/>
      <c r="D50" s="647"/>
      <c r="E50" s="648"/>
      <c r="F50" s="648"/>
      <c r="G50" s="648"/>
      <c r="H50" s="648"/>
      <c r="I50" s="648"/>
      <c r="J50" s="648"/>
      <c r="K50" s="648"/>
      <c r="L50" s="648"/>
      <c r="M50" s="648"/>
      <c r="N50" s="648"/>
      <c r="O50" s="470"/>
    </row>
    <row r="51" spans="1:15" ht="45" customHeight="1" x14ac:dyDescent="0.25">
      <c r="A51" s="1437"/>
      <c r="B51" s="1882">
        <v>0</v>
      </c>
      <c r="C51" s="1882"/>
      <c r="D51" s="648"/>
      <c r="E51" s="648"/>
      <c r="F51" s="648"/>
      <c r="G51" s="648"/>
      <c r="H51" s="648"/>
      <c r="I51" s="648"/>
      <c r="J51" s="648"/>
      <c r="K51" s="648"/>
      <c r="L51" s="648"/>
      <c r="M51" s="648"/>
      <c r="N51" s="648"/>
      <c r="O51" s="470"/>
    </row>
    <row r="52" spans="1:15" ht="21.95" customHeight="1" x14ac:dyDescent="0.25">
      <c r="O52" s="470"/>
    </row>
    <row r="53" spans="1:15" ht="21.95" customHeight="1" x14ac:dyDescent="0.25"/>
    <row r="54" spans="1:15" ht="21.95" customHeight="1" x14ac:dyDescent="0.25"/>
    <row r="55" spans="1:15" ht="21.95" customHeight="1" x14ac:dyDescent="0.25"/>
    <row r="56" spans="1:15" ht="44.1" customHeight="1" x14ac:dyDescent="0.25"/>
    <row r="57" spans="1:15" ht="44.1" customHeight="1" x14ac:dyDescent="0.25"/>
    <row r="58" spans="1:15" ht="44.1" customHeight="1" x14ac:dyDescent="0.25"/>
    <row r="59" spans="1:15" ht="21.95" customHeight="1" x14ac:dyDescent="0.25"/>
    <row r="60" spans="1:15" ht="21.95" customHeight="1" x14ac:dyDescent="0.25"/>
    <row r="61" spans="1:15" ht="21.95" customHeight="1" x14ac:dyDescent="0.25"/>
    <row r="63" spans="1:15" ht="18.75" customHeight="1" x14ac:dyDescent="0.25"/>
    <row r="64" spans="1:15" ht="60" customHeight="1" x14ac:dyDescent="0.25"/>
    <row r="65" spans="1:14" ht="24.95" customHeight="1" x14ac:dyDescent="0.25"/>
    <row r="66" spans="1:14" ht="57" customHeight="1" x14ac:dyDescent="0.25"/>
    <row r="67" spans="1:14" ht="46.5" customHeight="1" x14ac:dyDescent="0.25"/>
    <row r="68" spans="1:14" ht="20.25" customHeight="1" x14ac:dyDescent="0.25"/>
    <row r="76" spans="1:14" ht="15.75" x14ac:dyDescent="0.25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</row>
    <row r="77" spans="1:14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</sheetData>
  <mergeCells count="123">
    <mergeCell ref="E34:H35"/>
    <mergeCell ref="M7:N7"/>
    <mergeCell ref="M5:N5"/>
    <mergeCell ref="K5:L6"/>
    <mergeCell ref="J5:J6"/>
    <mergeCell ref="H5:I6"/>
    <mergeCell ref="H7:I8"/>
    <mergeCell ref="J7:J8"/>
    <mergeCell ref="K7:L8"/>
    <mergeCell ref="F7:G9"/>
    <mergeCell ref="H26:I27"/>
    <mergeCell ref="J26:J27"/>
    <mergeCell ref="K26:L27"/>
    <mergeCell ref="B22:G22"/>
    <mergeCell ref="H22:I22"/>
    <mergeCell ref="K22:L22"/>
    <mergeCell ref="M22:N22"/>
    <mergeCell ref="B23:G23"/>
    <mergeCell ref="H23:I23"/>
    <mergeCell ref="K23:L23"/>
    <mergeCell ref="M23:N23"/>
    <mergeCell ref="B21:G21"/>
    <mergeCell ref="H21:I21"/>
    <mergeCell ref="I34:N35"/>
    <mergeCell ref="H4:I4"/>
    <mergeCell ref="K4:L4"/>
    <mergeCell ref="M4:N4"/>
    <mergeCell ref="A4:A6"/>
    <mergeCell ref="A8:A9"/>
    <mergeCell ref="M8:N8"/>
    <mergeCell ref="B4:E6"/>
    <mergeCell ref="F4:G6"/>
    <mergeCell ref="I31:L31"/>
    <mergeCell ref="M31:N31"/>
    <mergeCell ref="B28:G28"/>
    <mergeCell ref="H28:I28"/>
    <mergeCell ref="K28:L28"/>
    <mergeCell ref="B29:G29"/>
    <mergeCell ref="H29:I29"/>
    <mergeCell ref="K29:L29"/>
    <mergeCell ref="A24:A25"/>
    <mergeCell ref="B24:G25"/>
    <mergeCell ref="H24:I25"/>
    <mergeCell ref="K24:L25"/>
    <mergeCell ref="A26:A27"/>
    <mergeCell ref="B26:G27"/>
    <mergeCell ref="A20:A21"/>
    <mergeCell ref="B20:G20"/>
    <mergeCell ref="A50:A51"/>
    <mergeCell ref="B50:C50"/>
    <mergeCell ref="B51:C51"/>
    <mergeCell ref="H13:I13"/>
    <mergeCell ref="H9:I9"/>
    <mergeCell ref="B12:G13"/>
    <mergeCell ref="H12:I12"/>
    <mergeCell ref="A37:N37"/>
    <mergeCell ref="A38:N38"/>
    <mergeCell ref="A39:N39"/>
    <mergeCell ref="A32:C32"/>
    <mergeCell ref="D32:G32"/>
    <mergeCell ref="H32:J32"/>
    <mergeCell ref="K32:L32"/>
    <mergeCell ref="M32:N32"/>
    <mergeCell ref="M29:N29"/>
    <mergeCell ref="A30:C30"/>
    <mergeCell ref="D30:G30"/>
    <mergeCell ref="I30:L30"/>
    <mergeCell ref="M30:N30"/>
    <mergeCell ref="A31:C31"/>
    <mergeCell ref="D31:G31"/>
    <mergeCell ref="J24:J25"/>
    <mergeCell ref="M21:N21"/>
    <mergeCell ref="H20:I20"/>
    <mergeCell ref="K20:L20"/>
    <mergeCell ref="M20:N20"/>
    <mergeCell ref="K21:L21"/>
    <mergeCell ref="A18:A19"/>
    <mergeCell ref="B18:D19"/>
    <mergeCell ref="E18:G18"/>
    <mergeCell ref="H18:I18"/>
    <mergeCell ref="K18:L18"/>
    <mergeCell ref="M18:M19"/>
    <mergeCell ref="E19:G19"/>
    <mergeCell ref="H19:I19"/>
    <mergeCell ref="K19:L19"/>
    <mergeCell ref="A16:A17"/>
    <mergeCell ref="H16:I17"/>
    <mergeCell ref="J16:J17"/>
    <mergeCell ref="K16:L17"/>
    <mergeCell ref="M16:N16"/>
    <mergeCell ref="M17:N17"/>
    <mergeCell ref="B16:E17"/>
    <mergeCell ref="F16:G17"/>
    <mergeCell ref="A14:A15"/>
    <mergeCell ref="B14:G15"/>
    <mergeCell ref="H14:I15"/>
    <mergeCell ref="J14:J15"/>
    <mergeCell ref="K14:L15"/>
    <mergeCell ref="M14:N15"/>
    <mergeCell ref="K41:N41"/>
    <mergeCell ref="K45:N45"/>
    <mergeCell ref="E2:K2"/>
    <mergeCell ref="B3:G3"/>
    <mergeCell ref="H3:I3"/>
    <mergeCell ref="K3:L3"/>
    <mergeCell ref="M3:N3"/>
    <mergeCell ref="A12:A13"/>
    <mergeCell ref="M12:N12"/>
    <mergeCell ref="K12:L12"/>
    <mergeCell ref="K11:L11"/>
    <mergeCell ref="M11:N11"/>
    <mergeCell ref="K13:L13"/>
    <mergeCell ref="M13:N13"/>
    <mergeCell ref="K10:L10"/>
    <mergeCell ref="B10:G11"/>
    <mergeCell ref="A10:A11"/>
    <mergeCell ref="H10:I10"/>
    <mergeCell ref="M10:N10"/>
    <mergeCell ref="K9:L9"/>
    <mergeCell ref="M9:N9"/>
    <mergeCell ref="H11:I11"/>
    <mergeCell ref="M6:N6"/>
    <mergeCell ref="B7:E9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36" orientation="portrait" r:id="rId1"/>
  <headerFooter scaleWithDoc="0">
    <oddFooter>&amp;R&amp;"Arial Cyr,полужирный"&amp;8стр. &amp;P из &amp;N&amp;"Arial Cyr,обычный"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62</vt:i4>
      </vt:variant>
    </vt:vector>
  </HeadingPairs>
  <TitlesOfParts>
    <vt:vector size="84" baseType="lpstr">
      <vt:lpstr>Распродажа</vt:lpstr>
      <vt:lpstr>Модульные ограждения</vt:lpstr>
      <vt:lpstr>Панельные ограждения GL (стр.1)</vt:lpstr>
      <vt:lpstr>Панельные ограждения GL (стр.2)</vt:lpstr>
      <vt:lpstr>Эл-ты панельных ограждений - 1</vt:lpstr>
      <vt:lpstr>Эл-ты панельных ограждений - 2</vt:lpstr>
      <vt:lpstr>Применение столбов с фланцами</vt:lpstr>
      <vt:lpstr>Ограждения Optima+Рулон.Сетка</vt:lpstr>
      <vt:lpstr>Временные+Перфорированные</vt:lpstr>
      <vt:lpstr>X-Line+Protect+Газонные+Габион</vt:lpstr>
      <vt:lpstr>Откатные ворота</vt:lpstr>
      <vt:lpstr>Распашные ворота и калитки</vt:lpstr>
      <vt:lpstr>Входные группы Жалюзи</vt:lpstr>
      <vt:lpstr>Дополнения для входных групп</vt:lpstr>
      <vt:lpstr>Locinox</vt:lpstr>
      <vt:lpstr>Ограждения Жалюзи</vt:lpstr>
      <vt:lpstr>Milan | Milan Slim</vt:lpstr>
      <vt:lpstr>Tokyo</vt:lpstr>
      <vt:lpstr>Texas</vt:lpstr>
      <vt:lpstr>Palermo</vt:lpstr>
      <vt:lpstr>Штакетник_горизонтальный</vt:lpstr>
      <vt:lpstr>Данные1</vt:lpstr>
      <vt:lpstr>BTYPS</vt:lpstr>
      <vt:lpstr>CBUAQ</vt:lpstr>
      <vt:lpstr>CCCMT</vt:lpstr>
      <vt:lpstr>CEXUI</vt:lpstr>
      <vt:lpstr>DYRFP</vt:lpstr>
      <vt:lpstr>FIGQB</vt:lpstr>
      <vt:lpstr>FYLTY</vt:lpstr>
      <vt:lpstr>GQIBE</vt:lpstr>
      <vt:lpstr>GURGW</vt:lpstr>
      <vt:lpstr>IANCJ</vt:lpstr>
      <vt:lpstr>IQDLQ</vt:lpstr>
      <vt:lpstr>JJEDD</vt:lpstr>
      <vt:lpstr>JSLDC</vt:lpstr>
      <vt:lpstr>KPHTG</vt:lpstr>
      <vt:lpstr>LHMNL</vt:lpstr>
      <vt:lpstr>MilType</vt:lpstr>
      <vt:lpstr>MRGOJ</vt:lpstr>
      <vt:lpstr>MUGNQ</vt:lpstr>
      <vt:lpstr>OGGLT</vt:lpstr>
      <vt:lpstr>'X-Line+Protect+Газонные+Габион'!Print_Area</vt:lpstr>
      <vt:lpstr>'Временные+Перфорированные'!Print_Area</vt:lpstr>
      <vt:lpstr>'Входные группы Жалюзи'!Print_Area</vt:lpstr>
      <vt:lpstr>'Распашные ворота и калитки'!Print_Area</vt:lpstr>
      <vt:lpstr>PSAXR</vt:lpstr>
      <vt:lpstr>QPAFE</vt:lpstr>
      <vt:lpstr>RCHVF</vt:lpstr>
      <vt:lpstr>RCUTI</vt:lpstr>
      <vt:lpstr>RRWVS</vt:lpstr>
      <vt:lpstr>RWIPI</vt:lpstr>
      <vt:lpstr>SACMX</vt:lpstr>
      <vt:lpstr>TAYYL</vt:lpstr>
      <vt:lpstr>TexType</vt:lpstr>
      <vt:lpstr>TokyoType</vt:lpstr>
      <vt:lpstr>TTAIM</vt:lpstr>
      <vt:lpstr>VNIHD</vt:lpstr>
      <vt:lpstr>VNVOX</vt:lpstr>
      <vt:lpstr>WHMSA</vt:lpstr>
      <vt:lpstr>XCECV</vt:lpstr>
      <vt:lpstr>XODFC</vt:lpstr>
      <vt:lpstr>YAWAO</vt:lpstr>
      <vt:lpstr>Locinox!Область_печати</vt:lpstr>
      <vt:lpstr>'Milan | Milan Slim'!Область_печати</vt:lpstr>
      <vt:lpstr>Palermo!Область_печати</vt:lpstr>
      <vt:lpstr>Texas!Область_печати</vt:lpstr>
      <vt:lpstr>Tokyo!Область_печати</vt:lpstr>
      <vt:lpstr>'X-Line+Protect+Газонные+Габион'!Область_печати</vt:lpstr>
      <vt:lpstr>'Временные+Перфорированные'!Область_печати</vt:lpstr>
      <vt:lpstr>'Входные группы Жалюзи'!Область_печати</vt:lpstr>
      <vt:lpstr>'Дополнения для входных групп'!Область_печати</vt:lpstr>
      <vt:lpstr>'Модульные ограждения'!Область_печати</vt:lpstr>
      <vt:lpstr>'Ограждения Optima+Рулон.Сетка'!Область_печати</vt:lpstr>
      <vt:lpstr>'Ограждения Жалюзи'!Область_печати</vt:lpstr>
      <vt:lpstr>'Откатные ворота'!Область_печати</vt:lpstr>
      <vt:lpstr>'Панельные ограждения GL (стр.1)'!Область_печати</vt:lpstr>
      <vt:lpstr>'Панельные ограждения GL (стр.2)'!Область_печати</vt:lpstr>
      <vt:lpstr>'Применение столбов с фланцами'!Область_печати</vt:lpstr>
      <vt:lpstr>'Распашные ворота и калитки'!Область_печати</vt:lpstr>
      <vt:lpstr>Распродажа!Область_печати</vt:lpstr>
      <vt:lpstr>Штакетник_горизонтальный!Область_печати</vt:lpstr>
      <vt:lpstr>'Эл-ты панельных ограждений - 1'!Область_печати</vt:lpstr>
      <vt:lpstr>'Эл-ты панельных ограждений - 2'!Область_печати</vt:lpstr>
      <vt:lpstr>Ф1</vt:lpstr>
    </vt:vector>
  </TitlesOfParts>
  <Company>Grand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Ограждения Grand Line</dc:title>
  <dc:creator>Grand Line</dc:creator>
  <cp:keywords>Grand Line Ограждения</cp:keywords>
  <cp:lastModifiedBy>Galina Sergeeva</cp:lastModifiedBy>
  <cp:lastPrinted>2026-05-07T09:42:16Z</cp:lastPrinted>
  <dcterms:created xsi:type="dcterms:W3CDTF">2012-07-09T12:54:34Z</dcterms:created>
  <dcterms:modified xsi:type="dcterms:W3CDTF">2026-07-01T13:15:58Z</dcterms:modified>
</cp:coreProperties>
</file>